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e1e06d6fd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side" sheetId="1" r:id="Rb4836596245c413b"/>
    <x:sheet xmlns:r="http://schemas.openxmlformats.org/officeDocument/2006/relationships" name="Kampregistrering" sheetId="2" r:id="R4df051d025094ba6"/>
    <x:sheet xmlns:r="http://schemas.openxmlformats.org/officeDocument/2006/relationships" name="Stævneanalyse" sheetId="3" r:id="Rf432abd6fa03400d"/>
    <x:sheet xmlns:r="http://schemas.openxmlformats.org/officeDocument/2006/relationships" name="BD Pointtabel" sheetId="4" r:id="R6700fa168ffa4cb5"/>
    <x:sheet xmlns:r="http://schemas.openxmlformats.org/officeDocument/2006/relationships" name="Model &amp; indstillinger" sheetId="5" r:id="R4ab1d9dd438843ab"/>
    <x:sheet xmlns:r="http://schemas.openxmlformats.org/officeDocument/2006/relationships" name="Validering" sheetId="6" r:id="Rb874c1648ca842e5"/>
    <x:sheet xmlns:r="http://schemas.openxmlformats.org/officeDocument/2006/relationships" name="Turneringsoversigt" sheetId="7" r:id="R163f6d5bad8c4f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+0;-0;0"/>
    <x:numFmt numFmtId="165" formatCode="0.0%"/>
    <x:numFmt numFmtId="166" formatCode="dd-mm-yyyy"/>
    <x:numFmt numFmtId="200" formatCode="0%"/>
  </x:numFmts>
  <x:fonts count="22">
    <x:font>
      <x:sz val="11"/>
      <x:name val="Carlito"/>
    </x:font>
    <x:font>
      <x:b/>
      <x:sz val="11"/>
      <x:color rgb="FFFFFFFF"/>
      <x:name val="Carlito"/>
    </x:font>
    <x:font>
      <x:sz val="11"/>
      <x:name val="Calibri"/>
    </x:font>
    <x:font>
      <x:b/>
      <x:sz val="18"/>
      <x:color rgb="FFFFFFFF"/>
      <x:name val="Calibri"/>
    </x:font>
    <x:font>
      <x:i/>
      <x:sz val="11"/>
      <x:color rgb="FF6B7785"/>
      <x:name val="Calibri"/>
    </x:font>
    <x:font>
      <x:b/>
      <x:sz val="12"/>
      <x:color rgb="FF17324A"/>
      <x:name val="Calibri"/>
    </x:font>
    <x:font>
      <x:b/>
      <x:sz val="11"/>
      <x:color rgb="FF17324A"/>
      <x:name val="Calibri"/>
    </x:font>
    <x:font>
      <x:b/>
      <x:sz val="24"/>
      <x:color rgb="FF17324A"/>
      <x:name val="Calibri"/>
    </x:font>
    <x:font>
      <x:b/>
      <x:sz val="15"/>
      <x:color rgb="FF17324A"/>
      <x:name val="Calibri"/>
    </x:font>
    <x:font>
      <x:b/>
      <x:sz val="11"/>
      <x:color rgb="FFFFFFFF"/>
      <x:name val="Calibri"/>
    </x:font>
    <x:font>
      <x:sz val="8"/>
      <x:color rgb="FFFFFFFF"/>
      <x:name val="Calibri"/>
    </x:font>
    <x:font>
      <x:sz val="10"/>
      <x:name val="Calibri"/>
    </x:font>
    <x:font>
      <x:i/>
      <x:sz val="10"/>
      <x:color rgb="FF6B7785"/>
      <x:name val="Calibri"/>
    </x:font>
    <x:font>
      <x:b/>
      <x:sz val="10"/>
      <x:color rgb="FF17324A"/>
      <x:name val="Calibri"/>
    </x:font>
    <x:font>
      <x:b/>
      <x:sz val="13"/>
      <x:color rgb="FF17324A"/>
      <x:name val="Calibri"/>
    </x:font>
    <x:font>
      <x:b/>
      <x:sz val="10"/>
      <x:color rgb="FFFFFFFF"/>
      <x:name val="Calibri"/>
    </x:font>
    <x:font>
      <x:b/>
      <x:i/>
      <x:sz val="18"/>
      <x:color rgb="FFFFFFFF"/>
      <x:name val="Calibri"/>
    </x:font>
    <x:font>
      <x:b/>
      <x:i/>
      <x:sz val="10"/>
      <x:color rgb="FF17324A"/>
      <x:name val="Calibri"/>
    </x:font>
    <x:font>
      <x:sz val="8"/>
      <x:color rgb="FFFFFFFF"/>
      <x:name val="Carlito"/>
    </x:font>
    <x:font>
      <x:b/>
      <x:sz val="16"/>
      <x:color rgb="FF17324A"/>
      <x:name val="Calibri"/>
    </x:font>
    <x:font>
      <x:i/>
      <x:sz val="9"/>
      <x:color rgb="FF6B7785"/>
      <x:name val="Calibri"/>
    </x:font>
    <x:font>
      <x:b/>
      <x:sz val="12"/>
      <x:color rgb="FF17324A"/>
      <x:name val="Carlito"/>
    </x:font>
  </x:fonts>
  <x:fills count="19">
    <x:fill>
      <x:patternFill patternType="none"/>
    </x:fill>
    <x:fill>
      <x:patternFill patternType="gray125"/>
    </x:fill>
    <x:fill>
      <x:patternFill patternType="solid">
        <x:fgColor rgb="FF15324A"/>
      </x:patternFill>
    </x:fill>
    <x:fill>
      <x:patternFill patternType="solid">
        <x:fgColor rgb="FF17324A"/>
      </x:patternFill>
    </x:fill>
    <x:fill>
      <x:patternFill patternType="solid">
        <x:fgColor rgb="FFF4F6F8"/>
      </x:patternFill>
    </x:fill>
    <x:fill>
      <x:patternFill patternType="solid">
        <x:fgColor rgb="FFDCEAF4"/>
      </x:patternFill>
    </x:fill>
    <x:fill>
      <x:patternFill patternType="solid">
        <x:fgColor rgb="FFEEF5FA"/>
      </x:patternFill>
    </x:fill>
    <x:fill>
      <x:patternFill patternType="solid">
        <x:fgColor rgb="FFE4F2E7"/>
      </x:patternFill>
    </x:fill>
    <x:fill>
      <x:patternFill patternType="solid">
        <x:fgColor rgb="FFFFF9E8"/>
      </x:patternFill>
    </x:fill>
    <x:fill>
      <x:patternFill patternType="solid">
        <x:fgColor rgb="FFF1F8F3"/>
      </x:patternFill>
    </x:fill>
    <x:fill>
      <x:patternFill patternType="solid">
        <x:fgColor rgb="FFFFF4CC"/>
      </x:patternFill>
    </x:fill>
    <x:fill>
      <x:patternFill patternType="solid">
        <x:fgColor rgb="FFFFFFFF"/>
      </x:patternFill>
    </x:fill>
    <x:fill>
      <x:patternFill patternType="solid">
        <x:fgColor rgb="FFEEF5FA"/>
      </x:patternFill>
    </x:fill>
    <x:fill>
      <x:patternFill patternType="solid">
        <x:fgColor rgb="FFFFF9E8"/>
      </x:patternFill>
    </x:fill>
    <x:fill>
      <x:patternFill patternType="solid">
        <x:fgColor rgb="FFF1F8F3"/>
      </x:patternFill>
    </x:fill>
    <x:fill>
      <x:patternFill patternType="solid">
        <x:fgColor rgb="FFF4F6F8"/>
      </x:patternFill>
    </x:fill>
    <x:fill>
      <x:patternFill patternType="solid">
        <x:fgColor rgb="FF17324A"/>
      </x:patternFill>
    </x:fill>
    <x:fill>
      <x:patternFill patternType="solid">
        <x:fgColor rgb="FF17324A"/>
      </x:patternFill>
    </x:fill>
    <x:fill>
      <x:patternFill patternType="solid">
        <x:fgColor rgb="FFDCEAF4"/>
      </x:patternFill>
    </x:fill>
  </x:fills>
  <x:borders count="2">
    <x:border/>
    <x:border/>
  </x:borders>
  <x:cellStyleXfs count="1">
    <x:xf numFmtId="0" fontId="0" fillId="0" borderId="1"/>
  </x:cellStyleXfs>
  <x:cellXfs count="272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0" fillId="2" borderId="1" xfId="0"/>
    <x:xf numFmtId="0" fontId="1" fillId="2" borderId="1" xfId="0"/>
    <x:xf numFmtId="0" fontId="1" fillId="2" borderId="0" xfId="0" applyAlignment="1">
      <x:alignment wrapText="1"/>
    </x:xf>
    <x:xf numFmtId="0" fontId="0" fillId="0" borderId="0" xfId="0" applyAlignment="1">
      <x:alignment wrapText="1"/>
    </x:xf>
    <x:xf numFmtId="0" fontId="0" fillId="0" borderId="0" xfId="0"/>
    <x:xf numFmtId="0" fontId="2" fillId="0" borderId="0" xfId="0"/>
    <x:xf numFmtId="0" fontId="2" fillId="3" borderId="0" xfId="0"/>
    <x:xf numFmtId="0" fontId="3" fillId="3" borderId="0" xfId="0"/>
    <x:xf numFmtId="0" fontId="3" fillId="3" borderId="0" xfId="0" applyAlignment="1">
      <x:alignment vertical="center"/>
    </x:xf>
    <x:xf numFmtId="0" fontId="2" fillId="4" borderId="0" xfId="0"/>
    <x:xf numFmtId="0" fontId="4" fillId="4" borderId="0" xfId="0"/>
    <x:xf numFmtId="0" fontId="4" fillId="4" borderId="0" xfId="0" applyAlignment="1">
      <x:alignment wrapText="1"/>
    </x:xf>
    <x:xf numFmtId="0" fontId="2" fillId="5" borderId="0" xfId="0"/>
    <x:xf numFmtId="0" fontId="5" fillId="5" borderId="0" xfId="0"/>
    <x:xf numFmtId="0" fontId="5" fillId="5" borderId="0" xfId="0" applyAlignment="1">
      <x:alignment vertical="center"/>
    </x:xf>
    <x:xf numFmtId="0" fontId="2" fillId="6" borderId="0" xfId="0"/>
    <x:xf numFmtId="0" fontId="6" fillId="6" borderId="0" xfId="0"/>
    <x:xf numFmtId="0" fontId="6" fillId="6" borderId="0" xfId="0" applyAlignment="1">
      <x:alignment wrapText="1"/>
    </x:xf>
    <x:xf numFmtId="0" fontId="6" fillId="6" borderId="0" xfId="0" applyAlignment="1">
      <x:alignment horizontal="center" wrapText="1"/>
    </x:xf>
    <x:xf numFmtId="0" fontId="6" fillId="6" borderId="0" xfId="0" applyAlignment="1">
      <x:alignment horizontal="center" vertical="center" wrapText="1"/>
    </x:xf>
    <x:xf numFmtId="0" fontId="2" fillId="7" borderId="0" xfId="0"/>
    <x:xf numFmtId="0" fontId="7" fillId="7" borderId="0" xfId="0"/>
    <x:xf numFmtId="0" fontId="7" fillId="7" borderId="0" xfId="0" applyAlignment="1">
      <x:alignment horizontal="center"/>
    </x:xf>
    <x:xf numFmtId="0" fontId="7" fillId="7" borderId="0" xfId="0" applyAlignment="1">
      <x:alignment horizontal="center" vertical="center"/>
    </x:xf>
    <x:xf numFmtId="0" fontId="2" fillId="8" borderId="0" xfId="0"/>
    <x:xf numFmtId="0" fontId="7" fillId="8" borderId="0" xfId="0"/>
    <x:xf numFmtId="0" fontId="7" fillId="8" borderId="0" xfId="0" applyAlignment="1">
      <x:alignment horizontal="center"/>
    </x:xf>
    <x:xf numFmtId="0" fontId="7" fillId="8" borderId="0" xfId="0" applyAlignment="1">
      <x:alignment horizontal="center" vertical="center"/>
    </x:xf>
    <x:xf numFmtId="0" fontId="2" fillId="9" borderId="0" xfId="0"/>
    <x:xf numFmtId="0" fontId="8" fillId="9" borderId="0" xfId="0"/>
    <x:xf numFmtId="0" fontId="8" fillId="9" borderId="0" xfId="0" applyAlignment="1">
      <x:alignment wrapText="1"/>
    </x:xf>
    <x:xf numFmtId="0" fontId="8" fillId="9" borderId="0" xfId="0" applyAlignment="1">
      <x:alignment horizontal="center" wrapText="1"/>
    </x:xf>
    <x:xf numFmtId="0" fontId="8" fillId="9" borderId="0" xfId="0" applyAlignment="1">
      <x:alignment horizontal="center" vertical="center" wrapText="1"/>
    </x:xf>
    <x:xf numFmtId="0" fontId="9" fillId="3" borderId="0" xfId="0"/>
    <x:xf numFmtId="0" fontId="9" fillId="3" borderId="0" xfId="0" applyAlignment="1">
      <x:alignment wrapText="1"/>
    </x:xf>
    <x:xf numFmtId="0" fontId="9" fillId="3" borderId="0" xfId="0" applyAlignment="1">
      <x:alignment horizontal="center" wrapText="1"/>
    </x:xf>
    <x:xf numFmtId="0" fontId="9" fillId="3" borderId="0" xfId="0" applyAlignment="1">
      <x:alignment horizontal="center" vertical="center" wrapText="1"/>
    </x:xf>
    <x:xf numFmtId="0" fontId="6" fillId="9" borderId="0" xfId="0"/>
    <x:xf numFmtId="0" fontId="6" fillId="9" borderId="0" xfId="0" applyAlignment="1">
      <x:alignment horizontal="center"/>
    </x:xf>
    <x:xf numFmtId="0" fontId="6" fillId="9" borderId="0" xfId="0" applyAlignment="1">
      <x:alignment horizontal="center" vertical="center"/>
    </x:xf>
    <x:xf numFmtId="0" fontId="6" fillId="6" borderId="0" xfId="0" applyAlignment="1">
      <x:alignment horizontal="center" vertical="center"/>
    </x:xf>
    <x:xf numFmtId="164" fontId="6" fillId="9" borderId="0" xfId="0" applyAlignment="1">
      <x:alignment horizontal="center" vertical="center"/>
    </x:xf>
    <x:xf numFmtId="0" fontId="6" fillId="6" borderId="0" xfId="0" applyAlignment="1">
      <x:alignment vertical="center"/>
    </x:xf>
    <x:xf numFmtId="165" fontId="6" fillId="9" borderId="0" xfId="0" applyAlignment="1">
      <x:alignment horizontal="center" vertical="center"/>
    </x:xf>
    <x:xf numFmtId="2" fontId="6" fillId="9" borderId="0" xfId="0" applyAlignment="1">
      <x:alignment horizontal="center" vertical="center"/>
    </x:xf>
    <x:xf numFmtId="0" fontId="10" fillId="0" borderId="0" xfId="0"/>
    <x:xf numFmtId="0" fontId="3" fillId="3" borderId="0" xfId="0" applyAlignment="1">
      <x:alignment vertical="center" wrapText="1"/>
    </x:xf>
    <x:xf numFmtId="0" fontId="2" fillId="0" borderId="0" xfId="0" applyAlignment="1">
      <x:alignment wrapText="1"/>
    </x:xf>
    <x:xf numFmtId="0" fontId="5" fillId="5" borderId="0" xfId="0" applyAlignment="1">
      <x:alignment vertical="center" wrapText="1"/>
    </x:xf>
    <x:xf numFmtId="0" fontId="7" fillId="7" borderId="0" xfId="0" applyAlignment="1">
      <x:alignment horizontal="center" vertical="center" wrapText="1"/>
    </x:xf>
    <x:xf numFmtId="0" fontId="7" fillId="8" borderId="0" xfId="0" applyAlignment="1">
      <x:alignment horizontal="center" vertical="center" wrapText="1"/>
    </x:xf>
    <x:xf numFmtId="0" fontId="6" fillId="6" borderId="0" xfId="0" applyAlignment="1">
      <x:alignment vertical="center" wrapText="1"/>
    </x:xf>
    <x:xf numFmtId="0" fontId="6" fillId="9" borderId="0" xfId="0" applyAlignment="1">
      <x:alignment horizontal="center" vertical="center" wrapText="1"/>
    </x:xf>
    <x:xf numFmtId="164" fontId="6" fillId="9" borderId="0" xfId="0" applyAlignment="1">
      <x:alignment horizontal="center" vertical="center" wrapText="1"/>
    </x:xf>
    <x:xf numFmtId="165" fontId="6" fillId="9" borderId="0" xfId="0" applyAlignment="1">
      <x:alignment horizontal="center" vertical="center" wrapText="1"/>
    </x:xf>
    <x:xf numFmtId="2" fontId="6" fillId="9" borderId="0" xfId="0" applyAlignment="1">
      <x:alignment horizontal="center" vertical="center" wrapText="1"/>
    </x:xf>
    <x:xf numFmtId="0" fontId="11" fillId="0" borderId="0" xfId="0"/>
    <x:xf numFmtId="0" fontId="11" fillId="3" borderId="0" xfId="0"/>
    <x:xf numFmtId="0" fontId="11" fillId="4" borderId="0" xfId="0"/>
    <x:xf numFmtId="0" fontId="12" fillId="4" borderId="0" xfId="0"/>
    <x:xf numFmtId="0" fontId="12" fillId="4" borderId="0" xfId="0" applyAlignment="1">
      <x:alignment wrapText="1"/>
    </x:xf>
    <x:xf numFmtId="0" fontId="11" fillId="5" borderId="0" xfId="0"/>
    <x:xf numFmtId="0" fontId="13" fillId="5" borderId="0" xfId="0"/>
    <x:xf numFmtId="0" fontId="13" fillId="5" borderId="0" xfId="0" applyAlignment="1">
      <x:alignment wrapText="1"/>
    </x:xf>
    <x:xf numFmtId="0" fontId="13" fillId="5" borderId="0" xfId="0" applyAlignment="1">
      <x:alignment horizontal="center" wrapText="1"/>
    </x:xf>
    <x:xf numFmtId="0" fontId="13" fillId="5" borderId="0" xfId="0" applyAlignment="1">
      <x:alignment horizontal="center" vertical="center" wrapText="1"/>
    </x:xf>
    <x:xf numFmtId="0" fontId="11" fillId="7" borderId="0" xfId="0"/>
    <x:xf numFmtId="0" fontId="14" fillId="7" borderId="0" xfId="0"/>
    <x:xf numFmtId="0" fontId="14" fillId="7" borderId="0" xfId="0" applyAlignment="1">
      <x:alignment horizontal="center"/>
    </x:xf>
    <x:xf numFmtId="0" fontId="14" fillId="7" borderId="0" xfId="0" applyAlignment="1">
      <x:alignment horizontal="center" vertical="center"/>
    </x:xf>
    <x:xf numFmtId="0" fontId="11" fillId="4" borderId="0" xfId="0" applyAlignment="1">
      <x:alignment wrapText="1"/>
    </x:xf>
    <x:xf numFmtId="0" fontId="11" fillId="6" borderId="0" xfId="0" applyAlignment="1">
      <x:alignment wrapText="1"/>
    </x:xf>
    <x:xf numFmtId="0" fontId="13" fillId="6" borderId="0" xfId="0" applyAlignment="1">
      <x:alignment wrapText="1"/>
    </x:xf>
    <x:xf numFmtId="0" fontId="13" fillId="6" borderId="0" xfId="0" applyAlignment="1">
      <x:alignment vertical="center" wrapText="1"/>
    </x:xf>
    <x:xf numFmtId="0" fontId="11" fillId="9" borderId="0" xfId="0" applyAlignment="1">
      <x:alignment wrapText="1"/>
    </x:xf>
    <x:xf numFmtId="0" fontId="13" fillId="9" borderId="0" xfId="0" applyAlignment="1">
      <x:alignment wrapText="1"/>
    </x:xf>
    <x:xf numFmtId="0" fontId="13" fillId="9" borderId="0" xfId="0" applyAlignment="1">
      <x:alignment horizontal="center" wrapText="1"/>
    </x:xf>
    <x:xf numFmtId="0" fontId="13" fillId="9" borderId="0" xfId="0" applyAlignment="1">
      <x:alignment horizontal="center" vertical="center" wrapText="1"/>
    </x:xf>
    <x:xf numFmtId="0" fontId="15" fillId="3" borderId="0" xfId="0"/>
    <x:xf numFmtId="0" fontId="15" fillId="3" borderId="0" xfId="0" applyAlignment="1">
      <x:alignment wrapText="1"/>
    </x:xf>
    <x:xf numFmtId="0" fontId="15" fillId="3" borderId="0" xfId="0" applyAlignment="1">
      <x:alignment horizontal="center" wrapText="1"/>
    </x:xf>
    <x:xf numFmtId="0" fontId="15" fillId="3" borderId="0" xfId="0" applyAlignment="1">
      <x:alignment horizontal="center" vertical="center" wrapText="1"/>
    </x:xf>
    <x:xf numFmtId="0" fontId="11" fillId="10" borderId="0" xfId="0"/>
    <x:xf numFmtId="0" fontId="11" fillId="10" borderId="0" xfId="0" applyAlignment="1">
      <x:alignment wrapText="1"/>
    </x:xf>
    <x:xf numFmtId="0" fontId="11" fillId="6" borderId="0" xfId="0"/>
    <x:xf numFmtId="0" fontId="13" fillId="6" borderId="0" xfId="0"/>
    <x:xf numFmtId="0" fontId="12" fillId="3" borderId="0" xfId="0" applyAlignment="1">
      <x:alignment wrapText="1"/>
    </x:xf>
    <x:xf numFmtId="0" fontId="16" fillId="3" borderId="0" xfId="0" applyAlignment="1">
      <x:alignment wrapText="1"/>
    </x:xf>
    <x:xf numFmtId="0" fontId="16" fillId="3" borderId="0" xfId="0" applyAlignment="1">
      <x:alignment vertical="center" wrapText="1"/>
    </x:xf>
    <x:xf numFmtId="0" fontId="11" fillId="11" borderId="0" xfId="0"/>
    <x:xf numFmtId="0" fontId="11" fillId="11" borderId="0" xfId="0" applyAlignment="1">
      <x:alignment wrapText="1"/>
    </x:xf>
    <x:xf numFmtId="0" fontId="13" fillId="8" borderId="0" xfId="0" applyAlignment="1">
      <x:alignment horizontal="center" vertical="center" wrapText="1"/>
    </x:xf>
    <x:xf numFmtId="164" fontId="13" fillId="9" borderId="0" xfId="0" applyAlignment="1">
      <x:alignment horizontal="center" vertical="center" wrapText="1"/>
    </x:xf>
    <x:xf numFmtId="0" fontId="15" fillId="2" borderId="0" xfId="0" applyAlignment="1">
      <x:alignment wrapText="1"/>
    </x:xf>
    <x:xf numFmtId="0" fontId="11" fillId="0" borderId="0" xfId="0" applyAlignment="1">
      <x:alignment wrapText="1"/>
    </x:xf>
    <x:xf numFmtId="0" fontId="12" fillId="6" borderId="0" xfId="0" applyAlignment="1">
      <x:alignment wrapText="1"/>
    </x:xf>
    <x:xf numFmtId="0" fontId="17" fillId="6" borderId="0" xfId="0" applyAlignment="1">
      <x:alignment wrapText="1"/>
    </x:xf>
    <x:xf numFmtId="0" fontId="17" fillId="6" borderId="0" xfId="0" applyAlignment="1">
      <x:alignment vertical="center" wrapText="1"/>
    </x:xf>
    <x:xf numFmtId="166" fontId="11" fillId="10" borderId="0" xfId="0" applyAlignment="1">
      <x:alignment wrapText="1"/>
    </x:xf>
    <x:xf numFmtId="0" fontId="18" fillId="0" borderId="0" xfId="0"/>
    <x:xf numFmtId="0" fontId="3" fillId="3" borderId="1" xfId="0" applyAlignment="1">
      <x:alignment vertical="center" wrapText="1"/>
    </x:xf>
    <x:xf numFmtId="0" fontId="4" fillId="4" borderId="1" xfId="0" applyAlignment="1">
      <x:alignment wrapText="1"/>
    </x:xf>
    <x:xf numFmtId="0" fontId="5" fillId="5" borderId="1" xfId="0" applyAlignment="1">
      <x:alignment vertical="center" wrapText="1"/>
    </x:xf>
    <x:xf numFmtId="0" fontId="6" fillId="6" borderId="1" xfId="0" applyAlignment="1">
      <x:alignment horizontal="center" vertical="center" wrapText="1"/>
    </x:xf>
    <x:xf numFmtId="0" fontId="7" fillId="7" borderId="1" xfId="0" applyAlignment="1">
      <x:alignment horizontal="center" vertical="center" wrapText="1"/>
    </x:xf>
    <x:xf numFmtId="0" fontId="7" fillId="8" borderId="1" xfId="0" applyAlignment="1">
      <x:alignment horizontal="center" vertical="center" wrapText="1"/>
    </x:xf>
    <x:xf numFmtId="0" fontId="8" fillId="9" borderId="1" xfId="0" applyAlignment="1">
      <x:alignment horizontal="center" vertical="center" wrapText="1"/>
    </x:xf>
    <x:xf numFmtId="164" fontId="6" fillId="9" borderId="0" xfId="0" applyAlignment="1">
      <x:alignment horizontal="center" vertical="center" wrapText="1"/>
    </x:xf>
    <x:xf numFmtId="0" fontId="2" fillId="0" borderId="1" xfId="0" applyAlignment="1">
      <x:alignment wrapText="1"/>
    </x:xf>
    <x:xf numFmtId="0" fontId="9" fillId="3" borderId="1" xfId="0" applyAlignment="1">
      <x:alignment horizontal="center" vertical="center" wrapText="1"/>
    </x:xf>
    <x:xf numFmtId="165" fontId="6" fillId="9" borderId="0" xfId="0" applyAlignment="1">
      <x:alignment horizontal="center" vertical="center" wrapText="1"/>
    </x:xf>
    <x:xf numFmtId="2" fontId="6" fillId="9" borderId="0" xfId="0" applyAlignment="1">
      <x:alignment horizontal="center" vertical="center" wrapText="1"/>
    </x:xf>
    <x:xf numFmtId="0" fontId="3" fillId="3" borderId="1" xfId="0" applyAlignment="1">
      <x:alignment vertical="center"/>
    </x:xf>
    <x:xf numFmtId="0" fontId="12" fillId="4" borderId="1" xfId="0" applyAlignment="1">
      <x:alignment wrapText="1"/>
    </x:xf>
    <x:xf numFmtId="0" fontId="13" fillId="5" borderId="1" xfId="0" applyAlignment="1">
      <x:alignment horizontal="center" vertical="center" wrapText="1"/>
    </x:xf>
    <x:xf numFmtId="0" fontId="14" fillId="7" borderId="1" xfId="0" applyAlignment="1">
      <x:alignment horizontal="center" vertical="center"/>
    </x:xf>
    <x:xf numFmtId="0" fontId="17" fillId="6" borderId="1" xfId="0" applyAlignment="1">
      <x:alignment vertical="center" wrapText="1"/>
    </x:xf>
    <x:xf numFmtId="0" fontId="13" fillId="6" borderId="1" xfId="0" applyAlignment="1">
      <x:alignment wrapText="1"/>
    </x:xf>
    <x:xf numFmtId="166" fontId="11" fillId="10" borderId="0" xfId="0" applyAlignment="1">
      <x:alignment wrapText="1"/>
    </x:xf>
    <x:xf numFmtId="0" fontId="11" fillId="0" borderId="1" xfId="0"/>
    <x:xf numFmtId="0" fontId="16" fillId="3" borderId="1" xfId="0" applyAlignment="1">
      <x:alignment vertical="center" wrapText="1"/>
    </x:xf>
    <x:xf numFmtId="164" fontId="13" fillId="9" borderId="0" xfId="0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2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2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2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horizontal="center" wrapText="1"/>
    </x:xf>
    <x:xf numFmtId="0" fontId="8" fillId="9" borderId="0" xfId="0" applyNumberFormat="1" applyFont="1" applyFill="1" applyBorder="1" applyAlignment="1">
      <x:alignment horizontal="center" vertical="center"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horizontal="center" wrapText="1"/>
    </x:xf>
    <x:xf numFmtId="0" fontId="9" fillId="3" borderId="0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horizontal="center"/>
    </x:xf>
    <x:xf numFmtId="0" fontId="6" fillId="9" borderId="0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 applyAlignment="1">
      <x:alignment horizontal="center" vertical="center"/>
    </x:xf>
    <x:xf numFmtId="164" fontId="6" fillId="9" borderId="0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 applyAlignment="1">
      <x:alignment vertical="center"/>
    </x:xf>
    <x:xf numFmtId="165" fontId="6" fillId="9" borderId="0" xfId="0" applyNumberFormat="1" applyFont="1" applyFill="1" applyBorder="1" applyAlignment="1">
      <x:alignment horizontal="center" vertical="center"/>
    </x:xf>
    <x:xf numFmtId="2" fontId="6" fillId="9" borderId="0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7" fillId="8" borderId="0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horizontal="center" vertical="center" wrapText="1"/>
    </x:xf>
    <x:xf numFmtId="164" fontId="6" fillId="9" borderId="0" xfId="0" applyNumberFormat="1" applyFont="1" applyFill="1" applyBorder="1" applyAlignment="1">
      <x:alignment horizontal="center" vertical="center" wrapText="1"/>
    </x:xf>
    <x:xf numFmtId="165" fontId="6" fillId="9" borderId="0" xfId="0" applyNumberFormat="1" applyFont="1" applyFill="1" applyBorder="1" applyAlignment="1">
      <x:alignment horizontal="center" vertical="center" wrapText="1"/>
    </x:xf>
    <x:xf numFmtId="2" fontId="6" fillId="9" borderId="0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/>
    <x:xf numFmtId="0" fontId="11" fillId="3" borderId="0" xfId="0" applyNumberFormat="1" applyFont="1" applyFill="1" applyBorder="1"/>
    <x:xf numFmtId="0" fontId="11" fillId="4" borderId="0" xfId="0" applyNumberFormat="1" applyFont="1" applyFill="1" applyBorder="1"/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/>
    <x:xf numFmtId="0" fontId="13" fillId="5" borderId="0" xfId="0" applyNumberFormat="1" applyFont="1" applyFill="1" applyBorder="1"/>
    <x:xf numFmtId="0" fontId="13" fillId="5" borderId="0" xfId="0" applyNumberFormat="1" applyFont="1" applyFill="1" applyBorder="1" applyAlignment="1">
      <x:alignment wrapText="1"/>
    </x:xf>
    <x:xf numFmtId="0" fontId="13" fillId="5" borderId="0" xfId="0" applyNumberFormat="1" applyFont="1" applyFill="1" applyBorder="1" applyAlignment="1">
      <x:alignment horizontal="center" wrapText="1"/>
    </x:xf>
    <x:xf numFmtId="0" fontId="13" fillId="5" borderId="0" xfId="0" applyNumberFormat="1" applyFont="1" applyFill="1" applyBorder="1" applyAlignment="1">
      <x:alignment horizontal="center" vertical="center" wrapText="1"/>
    </x:xf>
    <x:xf numFmtId="0" fontId="11" fillId="7" borderId="0" xfId="0" applyNumberFormat="1" applyFont="1" applyFill="1" applyBorder="1"/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horizontal="center"/>
    </x:xf>
    <x:xf numFmtId="0" fontId="14" fillId="7" borderId="0" xfId="0" applyNumberFormat="1" applyFont="1" applyFill="1" applyBorder="1" applyAlignment="1">
      <x:alignment horizontal="center" vertical="center"/>
    </x:xf>
    <x:xf numFmtId="0" fontId="11" fillId="4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wrapText="1"/>
    </x:xf>
    <x:xf numFmtId="0" fontId="13" fillId="6" borderId="0" xfId="0" applyNumberFormat="1" applyFont="1" applyFill="1" applyBorder="1" applyAlignment="1">
      <x:alignment wrapText="1"/>
    </x:xf>
    <x:xf numFmtId="0" fontId="13" fillId="6" borderId="0" xfId="0" applyNumberFormat="1" applyFont="1" applyFill="1" applyBorder="1" applyAlignment="1">
      <x:alignment vertical="center" wrapText="1"/>
    </x:xf>
    <x:xf numFmtId="0" fontId="11" fillId="9" borderId="0" xfId="0" applyNumberFormat="1" applyFont="1" applyFill="1" applyBorder="1" applyAlignment="1">
      <x:alignment wrapText="1"/>
    </x:xf>
    <x:xf numFmtId="0" fontId="13" fillId="9" borderId="0" xfId="0" applyNumberFormat="1" applyFont="1" applyFill="1" applyBorder="1" applyAlignment="1">
      <x:alignment wrapText="1"/>
    </x:xf>
    <x:xf numFmtId="0" fontId="13" fillId="9" borderId="0" xfId="0" applyNumberFormat="1" applyFont="1" applyFill="1" applyBorder="1" applyAlignment="1">
      <x:alignment horizontal="center" wrapText="1"/>
    </x:xf>
    <x:xf numFmtId="0" fontId="13" fillId="9" borderId="0" xfId="0" applyNumberFormat="1" applyFont="1" applyFill="1" applyBorder="1" applyAlignment="1">
      <x:alignment horizontal="center" vertical="center" wrapText="1"/>
    </x:xf>
    <x:xf numFmtId="0" fontId="15" fillId="3" borderId="0" xfId="0" applyNumberFormat="1" applyFont="1" applyFill="1" applyBorder="1"/>
    <x:xf numFmtId="0" fontId="15" fillId="3" borderId="0" xfId="0" applyNumberFormat="1" applyFont="1" applyFill="1" applyBorder="1" applyAlignment="1">
      <x:alignment wrapText="1"/>
    </x:xf>
    <x:xf numFmtId="0" fontId="15" fillId="3" borderId="0" xfId="0" applyNumberFormat="1" applyFont="1" applyFill="1" applyBorder="1" applyAlignment="1">
      <x:alignment horizontal="center" wrapText="1"/>
    </x:xf>
    <x:xf numFmtId="0" fontId="15" fillId="3" borderId="0" xfId="0" applyNumberFormat="1" applyFont="1" applyFill="1" applyBorder="1" applyAlignment="1">
      <x:alignment horizontal="center" vertical="center" wrapText="1"/>
    </x:xf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/>
    <x:xf numFmtId="0" fontId="13" fillId="6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6" fillId="3" borderId="0" xfId="0" applyNumberFormat="1" applyFont="1" applyFill="1" applyBorder="1" applyAlignment="1">
      <x:alignment wrapText="1"/>
    </x:xf>
    <x:xf numFmtId="0" fontId="16" fillId="3" borderId="0" xfId="0" applyNumberFormat="1" applyFont="1" applyFill="1" applyBorder="1" applyAlignment="1">
      <x:alignment vertical="center" wrapText="1"/>
    </x:xf>
    <x:xf numFmtId="0" fontId="11" fillId="11" borderId="0" xfId="0" applyNumberFormat="1" applyFont="1" applyFill="1" applyBorder="1"/>
    <x:xf numFmtId="0" fontId="11" fillId="11" borderId="0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horizontal="center" vertical="center" wrapText="1"/>
    </x:xf>
    <x:xf numFmtId="164" fontId="13" fillId="9" borderId="0" xfId="0" applyNumberFormat="1" applyFont="1" applyFill="1" applyBorder="1" applyAlignment="1">
      <x:alignment horizontal="center" vertical="center" wrapText="1"/>
    </x:xf>
    <x:xf numFmtId="0" fontId="15" fillId="2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17" fillId="6" borderId="0" xfId="0" applyNumberFormat="1" applyFont="1" applyFill="1" applyBorder="1" applyAlignment="1">
      <x:alignment wrapText="1"/>
    </x:xf>
    <x:xf numFmtId="0" fontId="17" fillId="6" borderId="0" xfId="0" applyNumberFormat="1" applyFont="1" applyFill="1" applyBorder="1" applyAlignment="1">
      <x:alignment vertical="center" wrapText="1"/>
    </x:xf>
    <x:xf numFmtId="166" fontId="11" fillId="10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/>
    <x:xf numFmtId="0" fontId="2" fillId="12" borderId="0" xfId="0" applyNumberFormat="1" applyFont="1" applyFill="1" applyBorder="1" applyAlignment="1">
      <x:alignment wrapText="1"/>
    </x:xf>
    <x:xf numFmtId="0" fontId="6" fillId="12" borderId="0" xfId="0" applyNumberFormat="1" applyFont="1" applyFill="1" applyBorder="1" applyAlignment="1">
      <x:alignment wrapText="1"/>
    </x:xf>
    <x:xf numFmtId="0" fontId="6" fillId="12" borderId="0" xfId="0" applyNumberFormat="1" applyFont="1" applyFill="1" applyBorder="1" applyAlignment="1">
      <x:alignment horizontal="center" wrapText="1"/>
    </x:xf>
    <x:xf numFmtId="0" fontId="6" fillId="12" borderId="0" xfId="0" applyNumberFormat="1" applyFont="1" applyFill="1" applyBorder="1" applyAlignment="1">
      <x:alignment horizontal="center" vertical="center" wrapText="1"/>
    </x:xf>
    <x:xf numFmtId="0" fontId="2" fillId="13" borderId="0" xfId="0" applyNumberFormat="1" applyFont="1" applyFill="1" applyBorder="1" applyAlignment="1">
      <x:alignment wrapText="1"/>
    </x:xf>
    <x:xf numFmtId="0" fontId="19" fillId="13" borderId="0" xfId="0" applyNumberFormat="1" applyFont="1" applyFill="1" applyBorder="1" applyAlignment="1">
      <x:alignment wrapText="1"/>
    </x:xf>
    <x:xf numFmtId="0" fontId="19" fillId="13" borderId="0" xfId="0" applyNumberFormat="1" applyFont="1" applyFill="1" applyBorder="1" applyAlignment="1">
      <x:alignment horizontal="center" wrapText="1"/>
    </x:xf>
    <x:xf numFmtId="0" fontId="19" fillId="13" borderId="0" xfId="0" applyNumberFormat="1" applyFont="1" applyFill="1" applyBorder="1" applyAlignment="1">
      <x:alignment horizontal="center" vertical="center" wrapText="1"/>
    </x:xf>
    <x:xf numFmtId="0" fontId="2" fillId="14" borderId="0" xfId="0" applyNumberFormat="1" applyFont="1" applyFill="1" applyBorder="1" applyAlignment="1">
      <x:alignment wrapText="1"/>
    </x:xf>
    <x:xf numFmtId="0" fontId="19" fillId="14" borderId="0" xfId="0" applyNumberFormat="1" applyFont="1" applyFill="1" applyBorder="1" applyAlignment="1">
      <x:alignment wrapText="1"/>
    </x:xf>
    <x:xf numFmtId="0" fontId="19" fillId="14" borderId="0" xfId="0" applyNumberFormat="1" applyFont="1" applyFill="1" applyBorder="1" applyAlignment="1">
      <x:alignment horizontal="center" wrapText="1"/>
    </x:xf>
    <x:xf numFmtId="0" fontId="19" fillId="14" borderId="0" xfId="0" applyNumberFormat="1" applyFont="1" applyFill="1" applyBorder="1" applyAlignment="1">
      <x:alignment horizontal="center" vertical="center" wrapText="1"/>
    </x:xf>
    <x:xf numFmtId="200" fontId="19" fillId="14" borderId="0" xfId="0" applyNumberFormat="1" applyFont="1" applyFill="1" applyBorder="1" applyAlignment="1">
      <x:alignment horizontal="center" vertical="center" wrapText="1"/>
    </x:xf>
    <x:xf numFmtId="0" fontId="2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 applyAlignment="1">
      <x:alignment horizontal="center" wrapText="1"/>
    </x:xf>
    <x:xf numFmtId="0" fontId="20" fillId="15" borderId="0" xfId="0" applyNumberFormat="1" applyFont="1" applyFill="1" applyBorder="1" applyAlignment="1">
      <x:alignment horizontal="center" vertical="center" wrapText="1"/>
    </x:xf>
    <x:xf numFmtId="0" fontId="11" fillId="16" borderId="0" xfId="0" applyNumberFormat="1" applyFont="1" applyFill="1" applyBorder="1"/>
    <x:xf numFmtId="0" fontId="15" fillId="16" borderId="0" xfId="0" applyNumberFormat="1" applyFont="1" applyFill="1" applyBorder="1"/>
    <x:xf numFmtId="0" fontId="15" fillId="1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wrapText="1"/>
    </x:xf>
    <x:xf numFmtId="0" fontId="19" fillId="8" borderId="0" xfId="0" applyNumberFormat="1" applyFont="1" applyFill="1" applyBorder="1" applyAlignment="1">
      <x:alignment wrapText="1"/>
    </x:xf>
    <x:xf numFmtId="0" fontId="19" fillId="8" borderId="0" xfId="0" applyNumberFormat="1" applyFont="1" applyFill="1" applyBorder="1" applyAlignment="1">
      <x:alignment horizontal="center" wrapText="1"/>
    </x:xf>
    <x:xf numFmtId="0" fontId="19" fillId="8" borderId="0" xfId="0" applyNumberFormat="1" applyFont="1" applyFill="1" applyBorder="1" applyAlignment="1">
      <x:alignment horizontal="center" vertical="center" wrapText="1"/>
    </x:xf>
    <x:xf numFmtId="0" fontId="2" fillId="9" borderId="0" xfId="0" applyNumberFormat="1" applyFont="1" applyFill="1" applyBorder="1" applyAlignment="1">
      <x:alignment wrapText="1"/>
    </x:xf>
    <x:xf numFmtId="0" fontId="19" fillId="9" borderId="0" xfId="0" applyNumberFormat="1" applyFont="1" applyFill="1" applyBorder="1" applyAlignment="1">
      <x:alignment wrapText="1"/>
    </x:xf>
    <x:xf numFmtId="0" fontId="19" fillId="9" borderId="0" xfId="0" applyNumberFormat="1" applyFont="1" applyFill="1" applyBorder="1" applyAlignment="1">
      <x:alignment horizontal="center" wrapText="1"/>
    </x:xf>
    <x:xf numFmtId="0" fontId="19" fillId="9" borderId="0" xfId="0" applyNumberFormat="1" applyFont="1" applyFill="1" applyBorder="1" applyAlignment="1">
      <x:alignment horizontal="center" vertical="center" wrapText="1"/>
    </x:xf>
    <x:xf numFmtId="200" fontId="19" fillId="9" borderId="0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wrapText="1"/>
    </x:xf>
    <x:xf numFmtId="0" fontId="20" fillId="4" borderId="0" xfId="0" applyNumberFormat="1" applyFont="1" applyFill="1" applyBorder="1" applyAlignment="1">
      <x:alignment wrapText="1"/>
    </x:xf>
    <x:xf numFmtId="0" fontId="20" fillId="4" borderId="0" xfId="0" applyNumberFormat="1" applyFont="1" applyFill="1" applyBorder="1" applyAlignment="1">
      <x:alignment horizontal="center" wrapText="1"/>
    </x:xf>
    <x:xf numFmtId="0" fontId="20" fillId="4" borderId="0" xfId="0" applyNumberFormat="1" applyFont="1" applyFill="1" applyBorder="1" applyAlignment="1">
      <x:alignment horizontal="center" vertical="center" wrapText="1"/>
    </x:xf>
    <x:xf numFmtId="0" fontId="11" fillId="17" borderId="0" xfId="0" applyNumberFormat="1" applyFont="1" applyFill="1" applyBorder="1"/>
    <x:xf numFmtId="0" fontId="15" fillId="17" borderId="0" xfId="0" applyNumberFormat="1" applyFont="1" applyFill="1" applyBorder="1"/>
    <x:xf numFmtId="0" fontId="15" fillId="17" borderId="0" xfId="0" applyNumberFormat="1" applyFont="1" applyFill="1" applyBorder="1" applyAlignment="1">
      <x:alignment wrapText="1"/>
    </x:xf>
    <x:xf numFmtId="0" fontId="5" fillId="18" borderId="0" xfId="0" applyNumberFormat="1" applyFont="1" applyFill="1" applyBorder="1" applyAlignment="1">
      <x:alignment vertical="center" wrapText="1"/>
    </x:xf>
    <x:xf numFmtId="0" fontId="0" fillId="18" borderId="0" xfId="0" applyNumberFormat="1" applyFont="1" applyFill="1" applyBorder="1"/>
    <x:xf numFmtId="0" fontId="21" fillId="18" borderId="0" xfId="0" applyNumberFormat="1" applyFont="1" applyFill="1" applyBorder="1"/>
    <x:xf numFmtId="0" fontId="21" fillId="18" borderId="0" xfId="0" applyNumberFormat="1" applyFont="1" applyFill="1" applyBorder="1" applyAlignment="1">
      <x:alignment vertical="center"/>
    </x:xf>
    <x:xf numFmtId="0" fontId="9" fillId="17" borderId="0" xfId="0" applyNumberFormat="1" applyFont="1" applyFill="1" applyBorder="1" applyAlignment="1">
      <x:alignment horizontal="center" vertical="center" wrapText="1"/>
    </x:xf>
    <x:xf numFmtId="0" fontId="0" fillId="17" borderId="0" xfId="0" applyNumberFormat="1" applyFont="1" applyFill="1" applyBorder="1"/>
    <x:xf numFmtId="0" fontId="1" fillId="17" borderId="0" xfId="0" applyNumberFormat="1" applyFont="1" applyFill="1" applyBorder="1"/>
    <x:xf numFmtId="0" fontId="1" fillId="17" borderId="0" xfId="0" applyNumberFormat="1" applyFont="1" applyFill="1" applyBorder="1" applyAlignment="1">
      <x:alignment horizontal="center"/>
    </x:xf>
    <x:xf numFmtId="0" fontId="1" fillId="17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">
    <x:dxf>
      <x:font>
        <x:b/>
        <x:color rgb="002E6B4F"/>
      </x:font>
      <x:fill>
        <x:patternFill>
          <x:bgColor rgb="00E2F2E8"/>
        </x:patternFill>
      </x:fill>
    </x:dxf>
    <x:dxf>
      <x:fill>
        <x:patternFill>
          <x:bgColor rgb="00FDE8E7"/>
        </x:patternFill>
      </x:fill>
    </x:dxf>
    <x:dxf>
      <x:font>
        <x:color rgb="006B7785"/>
      </x:font>
      <x:fill>
        <x:patternFill>
          <x:bgColor rgb="00ECEFF1"/>
        </x:patternFill>
      </x:fill>
    </x:dxf>
    <x:dxf>
      <x:font>
        <x:b/>
        <x:color rgb="0017324A"/>
      </x:font>
      <x:fill>
        <x:patternFill>
          <x:bgColor rgb="00FFF4CC"/>
        </x:patternFill>
      </x:fill>
    </x:dxf>
    <x:dxf>
      <x:font>
        <x:color rgb="FF17324A"/>
      </x:font>
      <x:fill>
        <x:patternFill patternType="solid">
          <x:bgColor rgb="FFEEF5FA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c78b8bc0f444d" /><Relationship Type="http://schemas.openxmlformats.org/officeDocument/2006/relationships/theme" Target="/xl/theme/theme1.xml" Id="R1c56da61edd74e00" /><Relationship Type="http://schemas.openxmlformats.org/officeDocument/2006/relationships/sharedStrings" Target="/xl/sharedStrings.xml" Id="Rf6f346d894a34ec9" /><Relationship Type="http://schemas.openxmlformats.org/officeDocument/2006/relationships/worksheet" Target="/xl/worksheets/sheet1.xml" Id="Rb4836596245c413b" /><Relationship Type="http://schemas.openxmlformats.org/officeDocument/2006/relationships/worksheet" Target="/xl/worksheets/sheet2.xml" Id="R4df051d025094ba6" /><Relationship Type="http://schemas.openxmlformats.org/officeDocument/2006/relationships/worksheet" Target="/xl/worksheets/sheet3.xml" Id="Rf432abd6fa03400d" /><Relationship Type="http://schemas.openxmlformats.org/officeDocument/2006/relationships/worksheet" Target="/xl/worksheets/sheet4.xml" Id="R6700fa168ffa4cb5" /><Relationship Type="http://schemas.openxmlformats.org/officeDocument/2006/relationships/worksheet" Target="/xl/worksheets/sheet5.xml" Id="R4ab1d9dd438843ab" /><Relationship Type="http://schemas.openxmlformats.org/officeDocument/2006/relationships/worksheet" Target="/xl/worksheets/sheet6.xml" Id="Rb874c1648ca842e5" /><Relationship Type="http://schemas.openxmlformats.org/officeDocument/2006/relationships/worksheet" Target="/xl/worksheets/sheet7.xml" Id="R163f6d5bad8c4f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6" style="8" customWidth="1"/>
    <x:col min="2" max="2" width="10" style="8" customWidth="1"/>
    <x:col min="3" max="3" width="10" style="8" customWidth="1"/>
    <x:col min="4" max="4" width="10" style="8" customWidth="1"/>
    <x:col min="5" max="5" width="10" style="8" customWidth="1"/>
    <x:col min="6" max="6" width="10" style="8" customWidth="1"/>
    <x:col min="7" max="7" width="12" style="8" customWidth="1"/>
    <x:col min="8" max="8" width="12" style="8" customWidth="1"/>
    <x:col min="9" max="9" width="13" style="8" customWidth="1"/>
    <x:col min="10" max="10" width="12" style="8" customWidth="1"/>
    <x:col min="11" max="11" width="12" style="8" customWidth="1"/>
    <x:col min="12" max="12" width="12" style="8" customWidth="1"/>
    <x:col min="13" max="13" width="13" style="8" customWidth="1"/>
    <x:col min="14" max="14" width="13" style="8" customWidth="1"/>
    <x:col min="22" max="22" width="3" style="8" customWidth="1"/>
    <x:col min="23" max="23" width="3" hidden="0" customWidth="1"/>
    <x:col min="24" max="24" width="3" hidden="0" customWidth="1"/>
    <x:col min="25" max="25" width="3" hidden="0" customWidth="1"/>
    <x:col min="26" max="26" width="3" hidden="0" customWidth="1"/>
    <x:col min="27" max="27" width="3" hidden="0" customWidth="1"/>
    <x:col min="28" max="28" width="3" hidden="0" customWidth="1"/>
    <x:col min="29" max="29" width="3" hidden="0" customWidth="1"/>
    <x:col min="30" max="30" width="3" hidden="0" customWidth="1"/>
    <x:col min="31" max="31" width="3" hidden="0" customWidth="1"/>
    <x:col min="32" max="32" width="3" hidden="0" customWidth="1"/>
    <x:col min="33" max="33" width="3" hidden="0" customWidth="1"/>
    <x:col min="34" max="34" width="3" hidden="0" customWidth="1"/>
    <x:col min="35" max="35" width="3" hidden="0" customWidth="1"/>
    <x:col min="36" max="36" width="3" hidden="0" customWidth="1"/>
    <x:col min="37" max="37" width="3" hidden="0" customWidth="1"/>
    <x:col min="38" max="38" width="3" hidden="0" customWidth="1"/>
  </x:cols>
  <x:sheetData>
    <x:row r="1" s="8" customFormat="1" ht="24" customHeight="1">
      <x:c r="A1" s="104" t="inlineStr">
        <x:is>
          <x:t xml:space="preserve">Matti – U15 2026/27 | 1850-målet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49" t="n"/>
      <x:c r="P1" s="49" t="n"/>
      <x:c r="Q1" s="49" t="n"/>
      <x:c r="R1" s="49" t="n"/>
      <x:c r="S1" s="49" t="n"/>
      <x:c r="T1" s="49" t="n"/>
      <x:c r="U1" s="49" t="n"/>
      <x:c r="V1" s="103" t="n"/>
      <x:c r="W1" s="225"/>
      <x:c r="X1" s="225"/>
      <x:c r="Y1" s="225"/>
      <x:c r="Z1" s="225"/>
      <x:c r="AA1" s="225"/>
      <x:c r="AB1" s="225"/>
      <x:c r="AC1" s="225"/>
      <x:c r="AD1" s="225"/>
      <x:c r="AE1" s="225"/>
      <x:c r="AF1" s="225"/>
      <x:c r="AG1" s="225"/>
      <x:c r="AH1" s="225"/>
      <x:c r="AI1" s="225"/>
      <x:c r="AJ1" s="225"/>
      <x:c r="AK1" s="225"/>
      <x:c r="AL1" s="225"/>
    </x:row>
    <x:row r="2" s="8" customFormat="1" ht="24" customHeight="1">
      <x:c r="A2" s="105" t="inlineStr">
        <x:is>
          <x:t xml:space="preserve">Forsiden er overblik. Kampene registreres på fanen Kampregistrering. Turneringsoversigt samler pointhøst pr. stævne.</x:t>
        </x:is>
      </x:c>
      <x:c r="B2" s="1" t="n"/>
      <x:c r="C2" s="1" t="n"/>
      <x:c r="D2" s="1" t="n"/>
      <x:c r="E2" s="1" t="n"/>
      <x:c r="F2" s="1" t="n"/>
      <x:c r="G2" s="1" t="n"/>
      <x:c r="H2" s="1" t="n"/>
      <x:c r="I2" s="1" t="n"/>
      <x:c r="J2" s="1" t="n"/>
      <x:c r="K2" s="1" t="n"/>
      <x:c r="L2" s="1" t="n"/>
      <x:c r="M2" s="1" t="n"/>
      <x:c r="N2" s="1" t="n"/>
      <x:c r="O2" s="9" t="n"/>
      <x:c r="P2" s="9" t="n"/>
      <x:c r="Q2" s="9" t="n"/>
      <x:c r="R2" s="9" t="n"/>
      <x:c r="S2" s="9" t="n"/>
      <x:c r="T2" s="9" t="n"/>
      <x:c r="U2" s="9" t="n"/>
    </x:row>
    <x:row r="3">
      <x:c r="A3" s="51" t="n"/>
      <x:c r="B3" s="51" t="n"/>
      <x:c r="C3" s="51" t="n"/>
      <x:c r="D3" s="51" t="n"/>
      <x:c r="E3" s="51" t="n"/>
      <x:c r="F3" s="51" t="n"/>
      <x:c r="G3" s="51" t="n"/>
      <x:c r="H3" s="51" t="n"/>
      <x:c r="I3" s="51" t="n"/>
      <x:c r="J3" s="51" t="n"/>
      <x:c r="K3" s="51" t="n"/>
      <x:c r="L3" s="51" t="n"/>
      <x:c r="M3" s="51" t="n"/>
      <x:c r="N3" s="51" t="n"/>
      <x:c r="O3" s="9" t="n"/>
      <x:c r="P3" s="9" t="n"/>
      <x:c r="Q3" s="9" t="n"/>
      <x:c r="R3" s="9" t="n"/>
      <x:c r="S3" s="9" t="n"/>
      <x:c r="T3" s="9" t="n"/>
      <x:c r="U3" s="9" t="n"/>
    </x:row>
    <x:row r="4">
      <x:c r="A4" s="106" t="inlineStr">
        <x:is>
          <x:t xml:space="preserve">Status lige nu</x:t>
        </x:is>
      </x:c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9" t="inlineStr">
        <x:is>
          <x:t xml:space="preserve">S point</x:t>
        </x:is>
      </x:c>
      <x:c r="P4" s="9" t="inlineStr">
        <x:is>
          <x:t xml:space="preserve">S kampe</x:t>
        </x:is>
      </x:c>
      <x:c r="Q4" s="9" t="inlineStr">
        <x:is>
          <x:t xml:space="preserve">D point</x:t>
        </x:is>
      </x:c>
      <x:c r="R4" s="9" t="inlineStr">
        <x:is>
          <x:t xml:space="preserve">D kampe</x:t>
        </x:is>
      </x:c>
      <x:c r="S4" s="9" t="inlineStr">
        <x:is>
          <x:t xml:space="preserve">M point</x:t>
        </x:is>
      </x:c>
      <x:c r="T4" s="9" t="inlineStr">
        <x:is>
          <x:t xml:space="preserve">M kampe</x:t>
        </x:is>
      </x:c>
      <x:c r="U4" s="9" t="inlineStr">
        <x:is>
          <x:t xml:space="preserve">TN</x:t>
        </x:is>
      </x:c>
      <x:c r="V4" t="inlineStr">
        <x:is>
          <x:t xml:space="preserve">Seneste stævne-række</x:t>
        </x:is>
      </x:c>
      <x:c r="W4" t="str">
        <x:v>Aktuelt ID</x:v>
      </x:c>
      <x:c r="X4" t="str">
        <x:v>Stævne</x:v>
      </x:c>
      <x:c r="Y4" t="str">
        <x:v>Region</x:v>
      </x:c>
      <x:c r="Z4" t="str">
        <x:v>Kampe</x:v>
      </x:c>
      <x:c r="AA4" t="str">
        <x:v>Sejre</x:v>
      </x:c>
      <x:c r="AB4" t="str">
        <x:v>Nederlag</x:v>
      </x:c>
      <x:c r="AC4" t="str">
        <x:v>Ikke spillet</x:v>
      </x:c>
      <x:c r="AD4" t="str">
        <x:v>Planlagt</x:v>
      </x:c>
      <x:c r="AE4" t="str">
        <x:v>Rå pointhøst</x:v>
      </x:c>
      <x:c r="AF4" t="str">
        <x:v>S før</x:v>
      </x:c>
      <x:c r="AG4" t="str">
        <x:v>S k før</x:v>
      </x:c>
      <x:c r="AH4" t="str">
        <x:v>D før</x:v>
      </x:c>
      <x:c r="AI4" t="str">
        <x:v>D k før</x:v>
      </x:c>
      <x:c r="AJ4" t="str">
        <x:v>M før</x:v>
      </x:c>
      <x:c r="AK4" t="str">
        <x:v>M k før</x:v>
      </x:c>
      <x:c r="AL4" t="str">
        <x:v>TN før</x:v>
      </x:c>
    </x:row>
    <x:row r="5" s="8" customFormat="1" ht="24" customHeight="1">
      <x:c r="A5" s="107" t="inlineStr">
        <x:is>
          <x:t xml:space="preserve">Vægtet TN hvis stævnet sluttede nu</x:t>
        </x:is>
      </x:c>
      <x:c r="B5" s="1" t="n"/>
      <x:c r="C5" s="51" t="n"/>
      <x:c r="D5" s="107" t="inlineStr">
        <x:is>
          <x:t xml:space="preserve">Mål</x:t>
        </x:is>
      </x:c>
      <x:c r="E5" s="1" t="n"/>
      <x:c r="F5" s="51" t="n"/>
      <x:c r="G5" s="107" t="inlineStr">
        <x:is>
          <x:t xml:space="preserve">Mangler til 1850</x:t>
        </x:is>
      </x:c>
      <x:c r="H5" s="1" t="n"/>
      <x:c r="I5" s="51" t="n"/>
      <x:c r="J5" s="107" t="inlineStr">
        <x:is>
          <x:t xml:space="preserve">Aktuelt stævne / seneste prognose</x:t>
        </x:is>
      </x:c>
      <x:c r="K5" s="1" t="n"/>
      <x:c r="L5" s="1" t="n"/>
      <x:c r="M5" s="1" t="n"/>
      <x:c r="N5" s="1" t="n"/>
      <x:c r="O5" s="9" t="n">
        <x:f>'Model &amp; indstillinger'!$B$6+SUMIF(Kampregistrering!$G$10:$G$209,"Single",Kampregistrering!$U$10:$U$209)</x:f>
        <x:v>1805</x:v>
      </x:c>
      <x:c r="P5" s="9" t="n">
        <x:f>'Model &amp; indstillinger'!$B$7+COUNTIFS(Kampregistrering!$G$10:$G$209,"Single",Kampregistrering!$AK$10:$AK$209,1)</x:f>
        <x:v>54</x:v>
      </x:c>
      <x:c r="Q5" s="9" t="n">
        <x:f>'Model &amp; indstillinger'!$B$8+SUMIF(Kampregistrering!$G$10:$G$209,"Double",Kampregistrering!$U$10:$U$209)</x:f>
        <x:v>1734</x:v>
      </x:c>
      <x:c r="R5" s="9" t="n">
        <x:f>'Model &amp; indstillinger'!$B$9+COUNTIFS(Kampregistrering!$G$10:$G$209,"Double",Kampregistrering!$AK$10:$AK$209,1)</x:f>
        <x:v>52</x:v>
      </x:c>
      <x:c r="S5" s="9" t="n">
        <x:f>'Model &amp; indstillinger'!$B$10+SUMIF(Kampregistrering!$G$10:$G$209,"Mix",Kampregistrering!$U$10:$U$209)</x:f>
        <x:v>1386</x:v>
      </x:c>
      <x:c r="T5" s="9" t="n">
        <x:f>'Model &amp; indstillinger'!$B$11+COUNTIFS(Kampregistrering!$G$10:$G$209,"Mix",Kampregistrering!$AK$10:$AK$209,1)</x:f>
        <x:v>5</x:v>
      </x:c>
      <x:c r="U5" s="9" t="n">
        <x:f>ROUND(((O5*P5+Q5*R5+S5*T5)/(P5+R5+T5))+IF((MAX(O5,Q5,S5)-(O5+Q5+S5-MAX(O5,Q5,S5)-MIN(O5,Q5,S5)))&lt;'Model &amp; indstillinger'!$E$16,'Model &amp; indstillinger'!$E$18,'Model &amp; indstillinger'!$E$20)*(MAX(O5,Q5,S5)-((O5*P5+Q5*R5+S5*T5)/(P5+R5+T5))),0)</x:f>
        <x:v>1770</x:v>
      </x:c>
      <x:c r="V5"/>
      <x:c r="W5" t="n">
        <x:f>MAX(Kampregistrering!$AG$10:$AG$209)</x:f>
        <x:v>4</x:v>
      </x:c>
      <x:c r="X5" t="str">
        <x:f>IF(W5=0,"",VLOOKUP(W5,Kampregistrering!$AQ$10:$AS$209,2,FALSE))</x:f>
        <x:v>Herlev/Hjorten</x:v>
      </x:c>
      <x:c r="Y5" t="str">
        <x:f>IF(W5=0,"",VLOOKUP(W5,Kampregistrering!$AQ$10:$AS$209,3,FALSE))</x:f>
        <x:v>Sjælland</x:v>
      </x:c>
      <x:c r="Z5" t="n">
        <x:f>IF(W5=0,"",COUNTIFS(Kampregistrering!$AG$10:$AG$209,W5,Kampregistrering!$AK$10:$AK$209,1))</x:f>
        <x:v>0</x:v>
      </x:c>
      <x:c r="AA5" t="n">
        <x:f>IF(W5=0,"",COUNTIFS(Kampregistrering!$AG$10:$AG$209,W5,Kampregistrering!$H$10:$H$209,"Vundet"))</x:f>
        <x:v>0</x:v>
      </x:c>
      <x:c r="AB5" t="n">
        <x:f>IF(W5=0,"",COUNTIFS(Kampregistrering!$AG$10:$AG$209,W5,Kampregistrering!$H$10:$H$209,"Tabt"))</x:f>
        <x:v>0</x:v>
      </x:c>
      <x:c r="AC5" t="n">
        <x:f>IF(W5=0,"",COUNTIFS(Kampregistrering!$AG$10:$AG$209,W5,Kampregistrering!$H$10:$H$209,"Ikke spillet"))</x:f>
        <x:v>0</x:v>
      </x:c>
      <x:c r="AD5" t="n">
        <x:f>IF(W5=0,"",COUNTIFS(Kampregistrering!$AG$10:$AG$209,W5,Kampregistrering!$H$10:$H$209,"Planlagt"))</x:f>
        <x:v>3</x:v>
      </x:c>
      <x:c r="AE5" t="n">
        <x:f>IF(W5=0,"",SUMIFS(Kampregistrering!$U$10:$U$209,Kampregistrering!$AG$10:$AG$209,W5))</x:f>
        <x:v>0</x:v>
      </x:c>
      <x:c r="AF5" t="n">
        <x:f>IF(W5=0,"",IF(W5=1,'Model &amp; indstillinger'!$B$6,VLOOKUP(W5-1,Turneringsoversigt!$O$5:$V$34,2,FALSE)))</x:f>
        <x:v>1805</x:v>
      </x:c>
      <x:c r="AG5" t="n">
        <x:f>IF(W5=0,"",IF(W5=1,'Model &amp; indstillinger'!$B$7,VLOOKUP(W5-1,Turneringsoversigt!$O$5:$V$34,3,FALSE)))</x:f>
        <x:v>54</x:v>
      </x:c>
      <x:c r="AH5" t="n">
        <x:f>IF(W5=0,"",IF(W5=1,'Model &amp; indstillinger'!$B$8,VLOOKUP(W5-1,Turneringsoversigt!$O$5:$V$34,4,FALSE)))</x:f>
        <x:v>1734</x:v>
      </x:c>
      <x:c r="AI5" t="n">
        <x:f>IF(W5=0,"",IF(W5=1,'Model &amp; indstillinger'!$B$9,VLOOKUP(W5-1,Turneringsoversigt!$O$5:$V$34,5,FALSE)))</x:f>
        <x:v>52</x:v>
      </x:c>
      <x:c r="AJ5" t="n">
        <x:f>IF(W5=0,"",IF(W5=1,'Model &amp; indstillinger'!$B$10,VLOOKUP(W5-1,Turneringsoversigt!$O$5:$V$34,6,FALSE)))</x:f>
        <x:v>1386</x:v>
      </x:c>
      <x:c r="AK5" t="n">
        <x:f>IF(W5=0,"",IF(W5=1,'Model &amp; indstillinger'!$B$11,VLOOKUP(W5-1,Turneringsoversigt!$O$5:$V$34,7,FALSE)))</x:f>
        <x:v>5</x:v>
      </x:c>
      <x:c r="AL5" t="n">
        <x:f>IF(W5=0,"",IF(W5=1,'Model &amp; indstillinger'!$B$12,VLOOKUP(W5-1,Turneringsoversigt!$O$5:$V$34,8,FALSE)))</x:f>
        <x:v>1770</x:v>
      </x:c>
    </x:row>
    <x:row r="6" s="8" customFormat="1" ht="24" customHeight="1">
      <x:c r="A6" s="108" t="n">
        <x:f>$U$5</x:f>
        <x:v>1770</x:v>
      </x:c>
      <x:c r="B6" s="1" t="n"/>
      <x:c r="C6" s="51" t="n"/>
      <x:c r="D6" s="108" t="n">
        <x:f>'Model &amp; indstillinger'!$B$4</x:f>
        <x:v>1850</x:v>
      </x:c>
      <x:c r="E6" s="1" t="n"/>
      <x:c r="F6" s="51" t="n"/>
      <x:c r="G6" s="109" t="n">
        <x:f>MAX(0,D6-A6)</x:f>
        <x:v>80</x:v>
      </x:c>
      <x:c r="H6" s="1" t="n"/>
      <x:c r="I6" s="51" t="n"/>
      <x:c r="J6" s="110" t="str">
        <x:f>IF($W$5=0,"",$X$5&amp;" · I gang")</x:f>
        <x:v>Herlev/Hjorten · I gang</x:v>
      </x:c>
      <x:c r="K6" s="1" t="n"/>
      <x:c r="L6" s="1" t="n"/>
      <x:c r="M6" s="1" t="n"/>
      <x:c r="N6" s="1" t="n"/>
      <x:c r="O6" s="9" t="n"/>
      <x:c r="P6" s="9" t="n"/>
      <x:c r="Q6" s="9" t="n"/>
      <x:c r="R6" s="9" t="n"/>
      <x:c r="S6" s="9" t="n"/>
      <x:c r="T6" s="9" t="n"/>
      <x:c r="U6" s="9" t="n"/>
    </x:row>
    <x:row r="7" s="8" customFormat="1" ht="24" customHeight="1">
      <x:c r="A7" s="1" t="n"/>
      <x:c r="B7" s="1" t="n"/>
      <x:c r="C7" s="51" t="n"/>
      <x:c r="D7" s="1" t="n"/>
      <x:c r="E7" s="1" t="n"/>
      <x:c r="F7" s="51" t="n"/>
      <x:c r="G7" s="1" t="n"/>
      <x:c r="H7" s="1" t="n"/>
      <x:c r="I7" s="51" t="n"/>
      <x:c r="J7" s="1" t="n"/>
      <x:c r="K7" s="1" t="n"/>
      <x:c r="L7" s="1" t="n"/>
      <x:c r="M7" s="1" t="n"/>
      <x:c r="N7" s="1" t="n"/>
      <x:c r="O7" s="9" t="n"/>
      <x:c r="P7" s="9" t="n"/>
      <x:c r="Q7" s="9" t="n"/>
      <x:c r="R7" s="9" t="n"/>
      <x:c r="S7" s="9" t="n"/>
      <x:c r="T7" s="9" t="n"/>
      <x:c r="U7" s="9" t="n"/>
    </x:row>
    <x:row r="8" ht="24" customHeight="1">
      <x:c r="A8" s="229" t="str">
        <x:v>Est. sejre til M (1850)</x:v>
      </x:c>
      <x:c r="B8" s="229" t="n"/>
      <x:c r="C8" s="229" t="n"/>
      <x:c r="D8" s="229" t="n"/>
      <x:c r="E8" s="51" t="n"/>
      <x:c r="F8" s="229" t="str">
        <x:v>Est. kampe til M</x:v>
      </x:c>
      <x:c r="G8" s="229" t="n"/>
      <x:c r="H8" s="229" t="n"/>
      <x:c r="I8" s="229" t="n"/>
      <x:c r="J8" s="51" t="n"/>
      <x:c r="K8" s="229" t="str">
        <x:v>Aktuel sejrsrate</x:v>
      </x:c>
      <x:c r="L8" s="229" t="n"/>
      <x:c r="M8" s="229" t="n"/>
      <x:c r="N8" s="229" t="n"/>
      <x:c r="O8" s="9" t="n"/>
      <x:c r="P8" s="9" t="n"/>
      <x:c r="Q8" s="9" t="n"/>
      <x:c r="R8" s="9" t="n"/>
      <x:c r="S8" s="9" t="n"/>
      <x:c r="T8" s="9" t="n"/>
      <x:c r="U8" s="9" t="n"/>
    </x:row>
    <x:row r="9" ht="24" customHeight="1">
      <x:c r="A9" s="233" t="n">
        <x:f>IF($U$5&gt;='Model &amp; indstillinger'!$B$4,0,IF(OR(COUNTIF(Kampregistrering!$H$10:$H$209,"Vundet")=0,$U$5&lt;='Model &amp; indstillinger'!$B$12),"",ROUNDUP(('Model &amp; indstillinger'!$B$4-$U$5)/(($U$5-'Model &amp; indstillinger'!$B$12)/COUNTIF(Kampregistrering!$H$10:$H$209,"Vundet")),0)))</x:f>
        <x:v>13</x:v>
      </x:c>
      <x:c r="B9" s="233" t="n"/>
      <x:c r="C9" s="233" t="n"/>
      <x:c r="D9" s="233" t="n"/>
      <x:c r="E9" s="51" t="n"/>
      <x:c r="F9" s="233" t="n">
        <x:f>IF(A9="","",IF(A9=0,0,IF((COUNTIF(Kampregistrering!$H$10:$H$209,"Vundet")+COUNTIF(Kampregistrering!$H$10:$H$209,"Tabt"))=0,"",ROUNDUP(A9/(COUNTIF(Kampregistrering!$H$10:$H$209,"Vundet")/(COUNTIF(Kampregistrering!$H$10:$H$209,"Vundet")+COUNTIF(Kampregistrering!$H$10:$H$209,"Tabt"))),0))))</x:f>
        <x:v>17</x:v>
      </x:c>
      <x:c r="G9" s="233" t="n"/>
      <x:c r="H9" s="233" t="n"/>
      <x:c r="I9" s="233" t="n"/>
      <x:c r="J9" s="51" t="n"/>
      <x:c r="K9" s="238" t="n">
        <x:f>IF((COUNTIF(Kampregistrering!$H$10:$H$209,"Vundet")+COUNTIF(Kampregistrering!$H$10:$H$209,"Tabt"))=0,"",COUNTIF(Kampregistrering!$H$10:$H$209,"Vundet")/(COUNTIF(Kampregistrering!$H$10:$H$209,"Vundet")+COUNTIF(Kampregistrering!$H$10:$H$209,"Tabt")))</x:f>
        <x:v>0.7894736842105263</x:v>
      </x:c>
      <x:c r="L9" s="238" t="n"/>
      <x:c r="M9" s="238" t="n"/>
      <x:c r="N9" s="238" t="n"/>
      <x:c r="O9" s="9" t="n"/>
      <x:c r="P9" s="9" t="n"/>
      <x:c r="Q9" s="9" t="n"/>
      <x:c r="R9" s="9" t="n"/>
      <x:c r="S9" s="9" t="n"/>
      <x:c r="T9" s="9" t="n"/>
      <x:c r="U9" s="9" t="n"/>
    </x:row>
    <x:row r="10">
      <x:c r="A10" s="263" t="str">
        <x:v>Kategorier</x:v>
      </x:c>
      <x:c r="B10" s="266" t="n"/>
      <x:c r="C10" s="266" t="n"/>
      <x:c r="D10" s="266" t="n"/>
      <x:c r="E10" s="266" t="n"/>
      <x:c r="F10" s="266" t="n"/>
      <x:c r="G10" s="1" t="n"/>
      <x:c r="H10" s="266" t="str">
        <x:v>Turnering lige nu</x:v>
      </x:c>
      <x:c r="I10" s="266" t="n"/>
      <x:c r="J10" s="266" t="n"/>
      <x:c r="K10" s="266" t="n"/>
      <x:c r="L10" s="266" t="n"/>
      <x:c r="M10" s="266" t="n"/>
      <x:c r="N10" s="266" t="n"/>
      <x:c r="O10" s="9" t="n"/>
      <x:c r="P10" s="9" t="n"/>
      <x:c r="Q10" s="9" t="n"/>
      <x:c r="R10" s="9" t="n"/>
      <x:c r="S10" s="9" t="n"/>
      <x:c r="T10" s="9" t="n"/>
      <x:c r="U10" s="9" t="n"/>
    </x:row>
    <x:row r="11">
      <x:c r="A11" s="40" t="inlineStr">
        <x:is>
          <x:t xml:space="preserve">Kategori</x:t>
        </x:is>
      </x:c>
      <x:c r="B11" s="40" t="inlineStr">
        <x:is>
          <x:t xml:space="preserve">Point</x:t>
        </x:is>
      </x:c>
      <x:c r="C11" s="40" t="inlineStr">
        <x:is>
          <x:t xml:space="preserve">Kampe</x:t>
        </x:is>
      </x:c>
      <x:c r="D11" s="40" t="inlineStr">
        <x:is>
          <x:t xml:space="preserve">Netto siden Fyn</x:t>
        </x:is>
      </x:c>
      <x:c r="E11" s="51" t="str"/>
      <x:c r="F11" s="51" t="str"/>
      <x:c r="G11" s="51" t="n"/>
      <x:c r="H11" s="55" t="inlineStr">
        <x:is>
          <x:t xml:space="preserve">Stævne</x:t>
        </x:is>
      </x:c>
      <x:c r="I11" s="56" t="str">
        <x:f>$X$5</x:f>
        <x:v>Herlev/Hjorten</x:v>
      </x:c>
      <x:c r="J11" s="55" t="inlineStr">
        <x:is>
          <x:t xml:space="preserve">Status</x:t>
        </x:is>
      </x:c>
      <x:c r="K11" s="56" t="str">
        <x:v>I gang</x:v>
      </x:c>
      <x:c r="L11" s="55" t="inlineStr">
        <x:is>
          <x:t xml:space="preserve">Kampe</x:t>
        </x:is>
      </x:c>
      <x:c r="M11" s="56" t="n">
        <x:f>$Z$5</x:f>
        <x:v>0</x:v>
      </x:c>
      <x:c r="N11" s="51" t="n"/>
      <x:c r="O11" s="9" t="n"/>
      <x:c r="P11" s="9" t="n"/>
      <x:c r="Q11" s="9" t="n"/>
      <x:c r="R11" s="9" t="n"/>
      <x:c r="S11" s="9" t="n"/>
      <x:c r="T11" s="9" t="n"/>
      <x:c r="U11" s="9" t="n"/>
    </x:row>
    <x:row r="12">
      <x:c r="A12" s="23" t="inlineStr">
        <x:is>
          <x:t xml:space="preserve">Single</x:t>
        </x:is>
      </x:c>
      <x:c r="B12" s="111" t="n">
        <x:f>O5</x:f>
        <x:v>1805</x:v>
      </x:c>
      <x:c r="C12" s="111" t="n">
        <x:f>P5</x:f>
        <x:v>54</x:v>
      </x:c>
      <x:c r="D12" s="111" t="n">
        <x:f>O5-'Model &amp; indstillinger'!$B$6</x:f>
        <x:v>93</x:v>
      </x:c>
      <x:c r="E12" s="51" t="str"/>
      <x:c r="F12" s="51" t="str"/>
      <x:c r="G12" s="51" t="n"/>
      <x:c r="H12" s="55" t="inlineStr">
        <x:is>
          <x:t xml:space="preserve">W / L</x:t>
        </x:is>
      </x:c>
      <x:c r="I12" s="56" t="str">
        <x:f>$AA$5&amp;" / "&amp;$AB$5</x:f>
        <x:v>0 / 0</x:v>
      </x:c>
      <x:c r="J12" s="55" t="inlineStr">
        <x:is>
          <x:t xml:space="preserve">Ikke spillet</x:t>
        </x:is>
      </x:c>
      <x:c r="K12" s="56" t="n">
        <x:f>$AC$5</x:f>
        <x:v>0</x:v>
      </x:c>
      <x:c r="L12" s="55" t="inlineStr">
        <x:is>
          <x:t xml:space="preserve">Rå pointhøst</x:t>
        </x:is>
      </x:c>
      <x:c r="M12" s="111" t="n">
        <x:f>$AE$5</x:f>
        <x:v>0</x:v>
      </x:c>
      <x:c r="N12" s="51" t="n"/>
      <x:c r="O12" s="9" t="n"/>
      <x:c r="P12" s="9" t="n"/>
      <x:c r="Q12" s="9" t="n"/>
      <x:c r="R12" s="9" t="n"/>
      <x:c r="S12" s="9" t="n"/>
      <x:c r="T12" s="9" t="n"/>
      <x:c r="U12" s="9" t="n"/>
    </x:row>
    <x:row r="13">
      <x:c r="A13" s="23" t="inlineStr">
        <x:is>
          <x:t xml:space="preserve">Double</x:t>
        </x:is>
      </x:c>
      <x:c r="B13" s="111" t="n">
        <x:f>Q5</x:f>
        <x:v>1734</x:v>
      </x:c>
      <x:c r="C13" s="111" t="n">
        <x:f>R5</x:f>
        <x:v>52</x:v>
      </x:c>
      <x:c r="D13" s="111" t="n">
        <x:f>Q5-'Model &amp; indstillinger'!$B$8</x:f>
        <x:v>102</x:v>
      </x:c>
      <x:c r="E13" s="51" t="str"/>
      <x:c r="F13" s="51" t="str"/>
      <x:c r="G13" s="51" t="n"/>
      <x:c r="H13" s="55" t="inlineStr">
        <x:is>
          <x:t xml:space="preserve">TN før</x:t>
        </x:is>
      </x:c>
      <x:c r="I13" s="56" t="n">
        <x:f>$AL$5</x:f>
        <x:v>1770</x:v>
      </x:c>
      <x:c r="J13" s="55" t="inlineStr">
        <x:is>
          <x:t xml:space="preserve">TN efter / est.</x:t>
        </x:is>
      </x:c>
      <x:c r="K13" s="56" t="n">
        <x:f>$U$5</x:f>
        <x:v>1770</x:v>
      </x:c>
      <x:c r="L13" s="55" t="inlineStr">
        <x:is>
          <x:t xml:space="preserve">TN ændring</x:t>
        </x:is>
      </x:c>
      <x:c r="M13" s="111" t="n">
        <x:f>$U$5-$AL$5</x:f>
        <x:v>0</x:v>
      </x:c>
      <x:c r="N13" s="51" t="n"/>
      <x:c r="O13" s="9" t="n"/>
      <x:c r="P13" s="9" t="n"/>
      <x:c r="Q13" s="9" t="n"/>
      <x:c r="R13" s="9" t="n"/>
      <x:c r="S13" s="9" t="n"/>
      <x:c r="T13" s="9" t="n"/>
      <x:c r="U13" s="9" t="n"/>
    </x:row>
    <x:row r="14">
      <x:c r="A14" s="23" t="inlineStr">
        <x:is>
          <x:t xml:space="preserve">Mix</x:t>
        </x:is>
      </x:c>
      <x:c r="B14" s="111" t="n">
        <x:f>S5</x:f>
        <x:v>1386</x:v>
      </x:c>
      <x:c r="C14" s="111" t="n">
        <x:f>T5</x:f>
        <x:v>5</x:v>
      </x:c>
      <x:c r="D14" s="111" t="n">
        <x:f>S5-'Model &amp; indstillinger'!$B$10</x:f>
        <x:v>0</x:v>
      </x:c>
      <x:c r="E14" s="51" t="str"/>
      <x:c r="F14" s="51" t="str"/>
      <x:c r="G14" s="51" t="n"/>
      <x:c r="H14" s="51" t="str">
        <x:v>Planlagt</x:v>
      </x:c>
      <x:c r="I14" s="51" t="n">
        <x:f>$AD$5</x:f>
        <x:v>3</x:v>
      </x:c>
      <x:c r="J14" s="51" t="str"/>
      <x:c r="K14" s="51" t="str"/>
      <x:c r="L14" s="51" t="str"/>
      <x:c r="M14" s="51" t="str"/>
      <x:c r="N14" s="51" t="n"/>
      <x:c r="O14" s="9" t="n"/>
      <x:c r="P14" s="9" t="n"/>
      <x:c r="Q14" s="9" t="n"/>
      <x:c r="R14" s="9" t="n"/>
      <x:c r="S14" s="9" t="n"/>
      <x:c r="T14" s="9" t="n"/>
      <x:c r="U14" s="9" t="n"/>
    </x:row>
    <x:row r="15" ht="24" customHeight="1">
      <x:c r="A15" s="242" t="str">
        <x:v>Estimatet bruger den faktiske TN-fremgang og sejrsrate siden Fyn. Det ændrer sig automatisk, når nye resultater registreres.</x:v>
      </x:c>
      <x:c r="B15" s="242" t="n"/>
      <x:c r="C15" s="242" t="n"/>
      <x:c r="D15" s="242" t="n"/>
      <x:c r="E15" s="242" t="n"/>
      <x:c r="F15" s="242" t="n"/>
      <x:c r="G15" s="242" t="n"/>
      <x:c r="H15" s="242" t="str"/>
      <x:c r="I15" s="242" t="str"/>
      <x:c r="J15" s="242" t="str"/>
      <x:c r="K15" s="242" t="str"/>
      <x:c r="L15" s="242" t="str"/>
      <x:c r="M15" s="242" t="str"/>
      <x:c r="N15" s="242" t="n"/>
      <x:c r="O15" s="9" t="n"/>
      <x:c r="P15" s="9" t="n"/>
      <x:c r="Q15" s="9" t="n"/>
      <x:c r="R15" s="9" t="n"/>
      <x:c r="S15" s="9" t="n"/>
      <x:c r="T15" s="9" t="n"/>
      <x:c r="U15" s="9" t="n"/>
    </x:row>
    <x:row r="16">
      <x:c r="A16" s="112" t="n"/>
      <x:c r="B16" s="1" t="n"/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  <x:c r="M16" s="1" t="n"/>
      <x:c r="N16" s="1" t="n"/>
      <x:c r="O16" s="9" t="n"/>
      <x:c r="P16" s="9" t="n"/>
      <x:c r="Q16" s="9" t="n"/>
      <x:c r="R16" s="9" t="n"/>
      <x:c r="S16" s="9" t="n"/>
      <x:c r="T16" s="9" t="n"/>
      <x:c r="U16" s="9" t="n"/>
    </x:row>
    <x:row r="17">
      <x:c r="A17" s="263" t="str">
        <x:v>Regioner og kampudbytte</x:v>
      </x:c>
      <x:c r="B17" s="266" t="n"/>
      <x:c r="C17" s="266" t="n"/>
      <x:c r="D17" s="266" t="n"/>
      <x:c r="E17" s="266" t="n"/>
      <x:c r="F17" s="266" t="n"/>
      <x:c r="G17" s="1" t="n"/>
      <x:c r="H17" s="1" t="n"/>
      <x:c r="I17" s="1" t="n"/>
      <x:c r="J17" s="1" t="n"/>
      <x:c r="K17" s="1" t="n"/>
      <x:c r="L17" s="1" t="n"/>
      <x:c r="M17" s="1" t="n"/>
      <x:c r="N17" s="1" t="n"/>
      <x:c r="O17" s="9" t="n"/>
      <x:c r="P17" s="9" t="n"/>
      <x:c r="Q17" s="9" t="n"/>
      <x:c r="R17" s="9" t="n"/>
      <x:c r="S17" s="9" t="n"/>
      <x:c r="T17" s="9" t="n"/>
      <x:c r="U17" s="9" t="n"/>
    </x:row>
    <x:row r="18">
      <x:c r="A18" s="40" t="inlineStr">
        <x:is>
          <x:t xml:space="preserve">Region</x:t>
        </x:is>
      </x:c>
      <x:c r="B18" s="40" t="inlineStr">
        <x:is>
          <x:t xml:space="preserve">Kampe</x:t>
        </x:is>
      </x:c>
      <x:c r="C18" s="40" t="inlineStr">
        <x:is>
          <x:t xml:space="preserve">Sejre</x:t>
        </x:is>
      </x:c>
      <x:c r="D18" s="40" t="inlineStr">
        <x:is>
          <x:t xml:space="preserve">Sejrsprocent</x:t>
        </x:is>
      </x:c>
      <x:c r="E18" s="40" t="inlineStr">
        <x:is>
          <x:t xml:space="preserve">Netto BD-point</x:t>
        </x:is>
      </x:c>
      <x:c r="F18" s="40" t="inlineStr">
        <x:is>
          <x:t xml:space="preserve">BD-point/kamp</x:t>
        </x:is>
      </x:c>
      <x:c r="G18" s="51" t="n"/>
      <x:c r="H18" s="267" t="str">
        <x:v>Sådan bruges arket</x:v>
      </x:c>
      <x:c r="I18" s="271" t="n"/>
      <x:c r="J18" s="271" t="n"/>
      <x:c r="K18" s="271" t="n"/>
      <x:c r="L18" s="271" t="n"/>
      <x:c r="M18" s="271" t="n"/>
      <x:c r="N18" s="271" t="n"/>
      <x:c r="O18" s="9" t="n"/>
      <x:c r="P18" s="9" t="n"/>
      <x:c r="Q18" s="9" t="n"/>
      <x:c r="R18" s="9" t="n"/>
      <x:c r="S18" s="9" t="n"/>
      <x:c r="T18" s="9" t="n"/>
      <x:c r="U18" s="9" t="n"/>
    </x:row>
    <x:row r="19">
      <x:c r="A19" s="23" t="str">
        <x:f>'Stævneanalyse'!J5</x:f>
        <x:v>Sjælland</x:v>
      </x:c>
      <x:c r="B19" s="56" t="n">
        <x:f>'Stævneanalyse'!K5</x:f>
        <x:v>11</x:v>
      </x:c>
      <x:c r="C19" s="56" t="n">
        <x:f>'Stævneanalyse'!L5</x:f>
        <x:v>9</x:v>
      </x:c>
      <x:c r="D19" s="114" t="n">
        <x:f>'Stævneanalyse'!M5</x:f>
        <x:v>0.8181818181818182</x:v>
      </x:c>
      <x:c r="E19" s="56" t="n">
        <x:f>'Stævneanalyse'!N5</x:f>
        <x:v>107</x:v>
      </x:c>
      <x:c r="F19" s="115" t="n">
        <x:f>'Stævneanalyse'!O5</x:f>
        <x:v>9.727272727272727</x:v>
      </x:c>
      <x:c r="G19" s="51" t="n"/>
      <x:c r="H19" s="105" t="inlineStr">
        <x:is>
          <x:t xml:space="preserve">1) Gå til Kampregistrering.
2) Udfyld kun de gule felter.
3) Brug samme stævnenavn på alle kampene i samme stævne.
4) Brug Runde til Pulje, Kvartfinale, Semifinale og Finale.
5) Resultat kan være Vundet, Tabt eller Ikke spillet.</x:t>
        </x:is>
      </x:c>
      <x:c r="I19" s="1" t="n"/>
      <x:c r="J19" s="1" t="n"/>
      <x:c r="K19" s="1" t="n"/>
      <x:c r="L19" s="1" t="n"/>
      <x:c r="M19" s="1" t="n"/>
      <x:c r="N19" s="1" t="n"/>
      <x:c r="O19" s="9" t="n"/>
      <x:c r="P19" s="9" t="n"/>
      <x:c r="Q19" s="9" t="n"/>
      <x:c r="R19" s="9" t="n"/>
      <x:c r="S19" s="9" t="n"/>
      <x:c r="T19" s="9" t="n"/>
      <x:c r="U19" s="9" t="n"/>
    </x:row>
    <x:row r="20">
      <x:c r="A20" s="23" t="str">
        <x:f>'Stævneanalyse'!J6</x:f>
        <x:v>Fyn</x:v>
      </x:c>
      <x:c r="B20" s="56" t="n">
        <x:f>'Stævneanalyse'!K6</x:f>
        <x:v>7</x:v>
      </x:c>
      <x:c r="C20" s="56" t="n">
        <x:f>'Stævneanalyse'!L6</x:f>
        <x:v>4</x:v>
      </x:c>
      <x:c r="D20" s="114" t="n">
        <x:f>'Stævneanalyse'!M6</x:f>
        <x:v>0.5714285714285714</x:v>
      </x:c>
      <x:c r="E20" s="56" t="n">
        <x:f>'Stævneanalyse'!N6</x:f>
        <x:v>55</x:v>
      </x:c>
      <x:c r="F20" s="115" t="n">
        <x:f>'Stævneanalyse'!O6</x:f>
        <x:v>7.857142857142857</x:v>
      </x:c>
      <x:c r="G20" s="51" t="n"/>
      <x:c r="H20" s="1" t="n"/>
      <x:c r="N20" s="1" t="n"/>
      <x:c r="O20" s="9" t="n"/>
      <x:c r="P20" s="9" t="n"/>
      <x:c r="Q20" s="9" t="n"/>
      <x:c r="R20" s="9" t="n"/>
      <x:c r="S20" s="9" t="n"/>
      <x:c r="T20" s="9" t="n"/>
      <x:c r="U20" s="9" t="n"/>
    </x:row>
    <x:row r="21">
      <x:c r="A21" s="23" t="str">
        <x:f>'Stævneanalyse'!J7</x:f>
        <x:v>Jylland</x:v>
      </x:c>
      <x:c r="B21" s="56" t="n">
        <x:f>'Stævneanalyse'!K7</x:f>
        <x:v>8</x:v>
      </x:c>
      <x:c r="C21" s="56" t="n">
        <x:f>'Stævneanalyse'!L7</x:f>
        <x:v>6</x:v>
      </x:c>
      <x:c r="D21" s="114" t="n">
        <x:f>'Stævneanalyse'!M7</x:f>
        <x:v>0.75</x:v>
      </x:c>
      <x:c r="E21" s="56" t="n">
        <x:f>'Stævneanalyse'!N7</x:f>
        <x:v>88</x:v>
      </x:c>
      <x:c r="F21" s="115" t="n">
        <x:f>'Stævneanalyse'!O7</x:f>
        <x:v>11</x:v>
      </x:c>
      <x:c r="G21" s="51" t="n"/>
      <x:c r="H21" s="1" t="n"/>
      <x:c r="N21" s="1" t="n"/>
      <x:c r="O21" s="9" t="n"/>
      <x:c r="P21" s="9" t="n"/>
      <x:c r="Q21" s="9" t="n"/>
      <x:c r="R21" s="9" t="n"/>
      <x:c r="S21" s="9" t="n"/>
      <x:c r="T21" s="9" t="n"/>
      <x:c r="U21" s="9" t="n"/>
    </x:row>
    <x:row r="22">
      <x:c r="A22" s="23" t="str">
        <x:f>'Stævneanalyse'!J8</x:f>
        <x:v>Andet</x:v>
      </x:c>
      <x:c r="B22" s="56" t="n">
        <x:f>'Stævneanalyse'!K8</x:f>
        <x:v>0</x:v>
      </x:c>
      <x:c r="C22" s="56" t="n">
        <x:f>'Stævneanalyse'!L8</x:f>
        <x:v>0</x:v>
      </x:c>
      <x:c r="D22" s="114" t="n">
        <x:f>'Stævneanalyse'!M8</x:f>
        <x:v>0</x:v>
      </x:c>
      <x:c r="E22" s="56" t="n">
        <x:f>'Stævneanalyse'!N8</x:f>
        <x:v>0</x:v>
      </x:c>
      <x:c r="F22" s="115" t="n">
        <x:f>'Stævneanalyse'!O8</x:f>
        <x:v>0</x:v>
      </x:c>
      <x:c r="G22" s="51" t="n"/>
      <x:c r="H22" s="1" t="n"/>
      <x:c r="N22" s="1" t="n"/>
      <x:c r="O22" s="9" t="n"/>
      <x:c r="P22" s="9" t="n"/>
      <x:c r="Q22" s="9" t="n"/>
      <x:c r="R22" s="9" t="n"/>
      <x:c r="S22" s="9" t="n"/>
      <x:c r="T22" s="9" t="n"/>
      <x:c r="U22" s="9" t="n"/>
    </x:row>
    <x:row r="23">
      <x:c r="A23" s="51" t="n"/>
      <x:c r="B23" s="51" t="n"/>
      <x:c r="C23" s="51" t="n"/>
      <x:c r="D23" s="51" t="n"/>
      <x:c r="E23" s="51" t="n"/>
      <x:c r="F23" s="51" t="n"/>
      <x:c r="G23" s="51" t="n"/>
      <x:c r="H23" s="1" t="n"/>
      <x:c r="N23" s="1" t="n"/>
      <x:c r="O23" s="9" t="n"/>
      <x:c r="P23" s="9" t="n"/>
      <x:c r="Q23" s="9" t="n"/>
      <x:c r="R23" s="9" t="n"/>
      <x:c r="S23" s="9" t="n"/>
      <x:c r="T23" s="9" t="n"/>
      <x:c r="U23" s="9" t="n"/>
    </x:row>
    <x:row r="24">
      <x:c r="A24" s="51" t="n"/>
      <x:c r="B24" s="51" t="n"/>
      <x:c r="C24" s="51" t="n"/>
      <x:c r="D24" s="51" t="n"/>
      <x:c r="E24" s="51" t="n"/>
      <x:c r="F24" s="51" t="n"/>
      <x:c r="G24" s="51" t="n"/>
      <x:c r="H24" s="1" t="n"/>
      <x:c r="I24" s="1" t="n"/>
      <x:c r="J24" s="1" t="n"/>
      <x:c r="K24" s="1" t="n"/>
      <x:c r="L24" s="1" t="n"/>
      <x:c r="M24" s="1" t="n"/>
      <x:c r="N24" s="1" t="n"/>
      <x:c r="O24" s="9" t="n"/>
      <x:c r="P24" s="9" t="n"/>
      <x:c r="Q24" s="9" t="n"/>
      <x:c r="R24" s="9" t="n"/>
      <x:c r="S24" s="9" t="n"/>
      <x:c r="T24" s="9" t="n"/>
      <x:c r="U24" s="9" t="n"/>
    </x:row>
    <x:row r="25">
      <x:c r="A25" s="51" t="n"/>
      <x:c r="B25" s="51" t="n"/>
      <x:c r="C25" s="51" t="n"/>
      <x:c r="D25" s="51" t="n"/>
      <x:c r="E25" s="51" t="n"/>
      <x:c r="F25" s="51" t="n"/>
      <x:c r="G25" s="51" t="n"/>
      <x:c r="H25" s="1" t="n"/>
      <x:c r="I25" s="1" t="n"/>
      <x:c r="J25" s="1" t="n"/>
      <x:c r="K25" s="1" t="n"/>
      <x:c r="L25" s="1" t="n"/>
      <x:c r="M25" s="1" t="n"/>
      <x:c r="N25" s="1" t="n"/>
      <x:c r="O25" s="9" t="n"/>
      <x:c r="P25" s="9" t="n"/>
      <x:c r="Q25" s="9" t="n"/>
      <x:c r="R25" s="9" t="n"/>
      <x:c r="S25" s="9" t="n"/>
      <x:c r="T25" s="9" t="n"/>
      <x:c r="U25" s="9" t="n"/>
    </x:row>
    <x:row r="26">
      <x:c r="A26" s="51" t="n"/>
      <x:c r="B26" s="51" t="n"/>
      <x:c r="C26" s="51" t="n"/>
      <x:c r="D26" s="51" t="n"/>
      <x:c r="E26" s="51" t="n"/>
      <x:c r="F26" s="51" t="n"/>
      <x:c r="G26" s="51" t="n"/>
      <x:c r="H26" s="51" t="n"/>
      <x:c r="I26" s="51" t="n"/>
      <x:c r="J26" s="51" t="n"/>
      <x:c r="K26" s="51" t="n"/>
      <x:c r="L26" s="51" t="n"/>
      <x:c r="M26" s="51" t="n"/>
      <x:c r="N26" s="51" t="n"/>
      <x:c r="O26" s="9" t="n"/>
      <x:c r="P26" s="9" t="n"/>
      <x:c r="Q26" s="9" t="n"/>
      <x:c r="R26" s="9" t="n"/>
      <x:c r="S26" s="9" t="n"/>
      <x:c r="T26" s="9" t="n"/>
      <x:c r="U26" s="9" t="n"/>
    </x:row>
    <x:row r="27">
      <x:c r="A27" s="51" t="n"/>
      <x:c r="B27" s="51" t="n"/>
      <x:c r="C27" s="51" t="n"/>
      <x:c r="D27" s="51" t="n"/>
      <x:c r="E27" s="51" t="n"/>
      <x:c r="F27" s="51" t="n"/>
      <x:c r="G27" s="51" t="n"/>
      <x:c r="H27" s="51" t="n"/>
      <x:c r="I27" s="51" t="n"/>
      <x:c r="J27" s="51" t="n"/>
      <x:c r="K27" s="51" t="n"/>
      <x:c r="L27" s="51" t="n"/>
      <x:c r="M27" s="51" t="n"/>
      <x:c r="N27" s="51" t="n"/>
      <x:c r="O27" s="9" t="n"/>
      <x:c r="P27" s="9" t="n"/>
      <x:c r="Q27" s="9" t="n"/>
      <x:c r="R27" s="9" t="n"/>
      <x:c r="S27" s="9" t="n"/>
      <x:c r="T27" s="9" t="n"/>
      <x:c r="U27" s="9" t="n"/>
    </x:row>
    <x:row r="28">
      <x:c r="A28" s="51" t="n"/>
      <x:c r="B28" s="51" t="n"/>
      <x:c r="C28" s="51" t="n"/>
      <x:c r="D28" s="51" t="n"/>
      <x:c r="E28" s="51" t="n"/>
      <x:c r="F28" s="51" t="n"/>
      <x:c r="G28" s="51" t="n"/>
      <x:c r="H28" s="51" t="n"/>
      <x:c r="I28" s="51" t="n"/>
      <x:c r="J28" s="51" t="n"/>
      <x:c r="K28" s="51" t="n"/>
      <x:c r="L28" s="51" t="n"/>
      <x:c r="M28" s="51" t="n"/>
      <x:c r="N28" s="51" t="n"/>
      <x:c r="O28" s="9" t="n"/>
      <x:c r="P28" s="9" t="n"/>
      <x:c r="Q28" s="9" t="n"/>
      <x:c r="R28" s="9" t="n"/>
      <x:c r="S28" s="9" t="n"/>
      <x:c r="T28" s="9" t="n"/>
      <x:c r="U28" s="9" t="n"/>
    </x:row>
    <x:row r="29">
      <x:c r="A29" s="51" t="n"/>
      <x:c r="B29" s="51" t="n"/>
      <x:c r="C29" s="51" t="n"/>
      <x:c r="D29" s="51" t="n"/>
      <x:c r="E29" s="51" t="n"/>
      <x:c r="F29" s="51" t="n"/>
      <x:c r="G29" s="51" t="n"/>
      <x:c r="H29" s="51" t="n"/>
      <x:c r="I29" s="51" t="n"/>
      <x:c r="J29" s="51" t="n"/>
      <x:c r="K29" s="51" t="n"/>
      <x:c r="L29" s="51" t="n"/>
      <x:c r="M29" s="51" t="n"/>
      <x:c r="N29" s="51" t="n"/>
      <x:c r="O29" s="9" t="n"/>
      <x:c r="P29" s="9" t="n"/>
      <x:c r="Q29" s="9" t="n"/>
      <x:c r="R29" s="9" t="n"/>
      <x:c r="S29" s="9" t="n"/>
      <x:c r="T29" s="9" t="n"/>
      <x:c r="U29" s="9" t="n"/>
    </x:row>
    <x:row r="30">
      <x:c r="A30" s="51" t="n"/>
      <x:c r="B30" s="51" t="n"/>
      <x:c r="C30" s="51" t="n"/>
      <x:c r="D30" s="51" t="n"/>
      <x:c r="E30" s="51" t="n"/>
      <x:c r="F30" s="51" t="n"/>
      <x:c r="G30" s="51" t="n"/>
      <x:c r="H30" s="51" t="n"/>
      <x:c r="I30" s="51" t="n"/>
      <x:c r="J30" s="51" t="n"/>
      <x:c r="K30" s="51" t="n"/>
      <x:c r="L30" s="51" t="n"/>
      <x:c r="M30" s="51" t="n"/>
      <x:c r="N30" s="51" t="n"/>
      <x:c r="O30" s="9" t="n"/>
      <x:c r="P30" s="9" t="n"/>
      <x:c r="Q30" s="9" t="n"/>
      <x:c r="R30" s="9" t="n"/>
      <x:c r="S30" s="9" t="n"/>
      <x:c r="T30" s="9" t="n"/>
      <x:c r="U30" s="9" t="n"/>
    </x:row>
    <x:row r="31">
      <x:c r="A31" s="9" t="n"/>
      <x:c r="B31" s="9" t="n"/>
      <x:c r="C31" s="9" t="n"/>
      <x:c r="D31" s="9" t="n"/>
      <x:c r="E31" s="9" t="n"/>
      <x:c r="F31" s="9" t="n"/>
      <x:c r="G31" s="9" t="n"/>
      <x:c r="H31" s="9" t="n"/>
      <x:c r="I31" s="9" t="n"/>
      <x:c r="J31" s="9" t="n"/>
      <x:c r="K31" s="9" t="n"/>
      <x:c r="L31" s="9" t="n"/>
      <x:c r="M31" s="9" t="n"/>
      <x:c r="N31" s="9" t="n"/>
      <x:c r="O31" s="9" t="n"/>
      <x:c r="P31" s="9" t="n"/>
      <x:c r="Q31" s="9" t="n"/>
      <x:c r="R31" s="9" t="n"/>
      <x:c r="S31" s="9" t="n"/>
      <x:c r="T31" s="9" t="n"/>
      <x:c r="U31" s="9" t="n"/>
    </x:row>
    <x:row r="32">
      <x:c r="A32" s="9" t="n"/>
      <x:c r="B32" s="9" t="n"/>
      <x:c r="C32" s="9" t="n"/>
      <x:c r="D32" s="9" t="n"/>
      <x:c r="E32" s="9" t="n"/>
      <x:c r="F32" s="9" t="n"/>
      <x:c r="G32" s="9" t="n"/>
      <x:c r="H32" s="9" t="n"/>
      <x:c r="I32" s="9" t="n"/>
      <x:c r="J32" s="9" t="n"/>
      <x:c r="K32" s="9" t="n"/>
      <x:c r="L32" s="9" t="n"/>
      <x:c r="M32" s="9" t="n"/>
      <x:c r="N32" s="9" t="n"/>
      <x:c r="O32" s="9" t="n"/>
      <x:c r="P32" s="9" t="n"/>
      <x:c r="Q32" s="9" t="n"/>
      <x:c r="R32" s="9" t="n"/>
      <x:c r="S32" s="9" t="n"/>
      <x:c r="T32" s="9" t="n"/>
      <x:c r="U32" s="9" t="n"/>
    </x:row>
    <x:row r="33">
      <x:c r="A33" s="9" t="n"/>
      <x:c r="B33" s="9" t="n"/>
      <x:c r="C33" s="9" t="n"/>
      <x:c r="D33" s="9" t="n"/>
      <x:c r="E33" s="9" t="n"/>
      <x:c r="F33" s="9" t="n"/>
      <x:c r="G33" s="9" t="n"/>
      <x:c r="H33" s="9" t="n"/>
      <x:c r="I33" s="9" t="n"/>
      <x:c r="J33" s="9" t="n"/>
      <x:c r="K33" s="9" t="n"/>
      <x:c r="L33" s="9" t="n"/>
      <x:c r="M33" s="9" t="n"/>
      <x:c r="N33" s="9" t="n"/>
      <x:c r="O33" s="9" t="n"/>
      <x:c r="P33" s="9" t="n"/>
      <x:c r="Q33" s="9" t="n"/>
      <x:c r="R33" s="9" t="n"/>
      <x:c r="S33" s="9" t="n"/>
      <x:c r="T33" s="9" t="n"/>
      <x:c r="U33" s="9" t="n"/>
    </x:row>
    <x:row r="34">
      <x:c r="A34" s="9" t="n"/>
      <x:c r="B34" s="9" t="n"/>
      <x:c r="C34" s="9" t="n"/>
      <x:c r="D34" s="9" t="n"/>
      <x:c r="E34" s="9" t="n"/>
      <x:c r="F34" s="9" t="n"/>
      <x:c r="G34" s="9" t="n"/>
      <x:c r="H34" s="9" t="n"/>
      <x:c r="I34" s="9" t="n"/>
      <x:c r="J34" s="9" t="n"/>
      <x:c r="K34" s="9" t="n"/>
      <x:c r="L34" s="9" t="n"/>
      <x:c r="M34" s="9" t="n"/>
      <x:c r="N34" s="9" t="n"/>
      <x:c r="O34" s="9" t="n"/>
      <x:c r="P34" s="9" t="n"/>
      <x:c r="Q34" s="9" t="n"/>
      <x:c r="R34" s="9" t="n"/>
      <x:c r="S34" s="9" t="n"/>
      <x:c r="T34" s="9" t="n"/>
      <x:c r="U34" s="9" t="n"/>
    </x:row>
    <x:row r="35">
      <x:c r="A35" s="9" t="n"/>
      <x:c r="B35" s="9" t="n"/>
      <x:c r="C35" s="9" t="n"/>
      <x:c r="D35" s="9" t="n"/>
      <x:c r="E35" s="9" t="n"/>
      <x:c r="F35" s="9" t="n"/>
      <x:c r="G35" s="9" t="n"/>
      <x:c r="H35" s="9" t="n"/>
      <x:c r="I35" s="9" t="n"/>
      <x:c r="J35" s="9" t="n"/>
      <x:c r="K35" s="9" t="n"/>
      <x:c r="L35" s="9" t="n"/>
      <x:c r="M35" s="9" t="n"/>
      <x:c r="N35" s="9" t="n"/>
      <x:c r="O35" s="9" t="n"/>
      <x:c r="P35" s="9" t="n"/>
      <x:c r="Q35" s="9" t="n"/>
      <x:c r="R35" s="9" t="n"/>
      <x:c r="S35" s="9" t="n"/>
      <x:c r="T35" s="9" t="n"/>
      <x:c r="U35" s="9" t="n"/>
    </x:row>
    <x:row r="36">
      <x:c r="A36" s="9" t="n"/>
      <x:c r="B36" s="9" t="n"/>
      <x:c r="C36" s="9" t="n"/>
      <x:c r="D36" s="9" t="n"/>
      <x:c r="E36" s="9" t="n"/>
      <x:c r="F36" s="9" t="n"/>
      <x:c r="G36" s="9" t="n"/>
      <x:c r="H36" s="9" t="n"/>
      <x:c r="I36" s="9" t="n"/>
      <x:c r="J36" s="9" t="n"/>
      <x:c r="K36" s="9" t="n"/>
      <x:c r="L36" s="9" t="n"/>
      <x:c r="M36" s="9" t="n"/>
      <x:c r="N36" s="9" t="n"/>
      <x:c r="O36" s="9" t="n"/>
      <x:c r="P36" s="9" t="n"/>
      <x:c r="Q36" s="9" t="n"/>
      <x:c r="R36" s="9" t="n"/>
      <x:c r="S36" s="9" t="n"/>
      <x:c r="T36" s="9" t="n"/>
      <x:c r="U36" s="9" t="n"/>
    </x:row>
    <x:row r="37">
      <x:c r="A37" s="9" t="n"/>
      <x:c r="B37" s="9" t="n"/>
      <x:c r="C37" s="9" t="n"/>
      <x:c r="D37" s="9" t="n"/>
      <x:c r="E37" s="9" t="n"/>
      <x:c r="F37" s="9" t="n"/>
      <x:c r="G37" s="9" t="n"/>
      <x:c r="H37" s="9" t="n"/>
      <x:c r="I37" s="9" t="n"/>
      <x:c r="J37" s="9" t="n"/>
      <x:c r="K37" s="9" t="n"/>
      <x:c r="L37" s="9" t="n"/>
      <x:c r="M37" s="9" t="n"/>
      <x:c r="N37" s="9" t="n"/>
      <x:c r="O37" s="9" t="n"/>
      <x:c r="P37" s="9" t="n"/>
      <x:c r="Q37" s="9" t="n"/>
      <x:c r="R37" s="9" t="n"/>
      <x:c r="S37" s="9" t="n"/>
      <x:c r="T37" s="9" t="n"/>
      <x:c r="U37" s="9" t="n"/>
    </x:row>
    <x:row r="38">
      <x:c r="A38" s="9" t="n"/>
      <x:c r="B38" s="9" t="n"/>
      <x:c r="C38" s="9" t="n"/>
      <x:c r="D38" s="9" t="n"/>
      <x:c r="E38" s="9" t="n"/>
      <x:c r="F38" s="9" t="n"/>
      <x:c r="G38" s="9" t="n"/>
      <x:c r="H38" s="9" t="n"/>
      <x:c r="I38" s="9" t="n"/>
      <x:c r="J38" s="9" t="n"/>
      <x:c r="K38" s="9" t="n"/>
      <x:c r="L38" s="9" t="n"/>
      <x:c r="M38" s="9" t="n"/>
      <x:c r="N38" s="9" t="n"/>
      <x:c r="O38" s="9" t="n"/>
      <x:c r="P38" s="9" t="n"/>
      <x:c r="Q38" s="9" t="n"/>
      <x:c r="R38" s="9" t="n"/>
      <x:c r="S38" s="9" t="n"/>
      <x:c r="T38" s="9" t="n"/>
      <x:c r="U38" s="9" t="n"/>
    </x:row>
    <x:row r="39">
      <x:c r="A39" s="9" t="n"/>
      <x:c r="B39" s="9" t="n"/>
      <x:c r="C39" s="9" t="n"/>
      <x:c r="D39" s="9" t="n"/>
      <x:c r="E39" s="9" t="n"/>
      <x:c r="F39" s="9" t="n"/>
      <x:c r="G39" s="9" t="n"/>
      <x:c r="H39" s="9" t="n"/>
      <x:c r="I39" s="9" t="n"/>
      <x:c r="J39" s="9" t="n"/>
      <x:c r="K39" s="9" t="n"/>
      <x:c r="L39" s="9" t="n"/>
      <x:c r="M39" s="9" t="n"/>
      <x:c r="N39" s="9" t="n"/>
      <x:c r="O39" s="9" t="n"/>
      <x:c r="P39" s="9" t="n"/>
      <x:c r="Q39" s="9" t="n"/>
      <x:c r="R39" s="9" t="n"/>
      <x:c r="S39" s="9" t="n"/>
      <x:c r="T39" s="9" t="n"/>
      <x:c r="U39" s="9" t="n"/>
    </x:row>
    <x:row r="40">
      <x:c r="A40" s="9" t="n"/>
      <x:c r="B40" s="9" t="n"/>
      <x:c r="C40" s="9" t="n"/>
      <x:c r="D40" s="9" t="n"/>
      <x:c r="E40" s="9" t="n"/>
      <x:c r="F40" s="9" t="n"/>
      <x:c r="G40" s="9" t="n"/>
      <x:c r="H40" s="9" t="n"/>
      <x:c r="I40" s="9" t="n"/>
      <x:c r="J40" s="9" t="n"/>
      <x:c r="K40" s="9" t="n"/>
      <x:c r="L40" s="9" t="n"/>
      <x:c r="M40" s="9" t="n"/>
      <x:c r="N40" s="9" t="n"/>
      <x:c r="O40" s="9" t="n"/>
      <x:c r="P40" s="9" t="n"/>
      <x:c r="Q40" s="9" t="n"/>
      <x:c r="R40" s="9" t="n"/>
      <x:c r="S40" s="9" t="n"/>
      <x:c r="T40" s="9" t="n"/>
      <x:c r="U40" s="9" t="n"/>
    </x:row>
    <x:row r="41">
      <x:c r="A41" s="9" t="n"/>
      <x:c r="B41" s="9" t="n"/>
      <x:c r="C41" s="9" t="n"/>
      <x:c r="D41" s="9" t="n"/>
      <x:c r="E41" s="9" t="n"/>
      <x:c r="F41" s="9" t="n"/>
      <x:c r="G41" s="9" t="n"/>
      <x:c r="H41" s="9" t="n"/>
      <x:c r="I41" s="9" t="n"/>
      <x:c r="J41" s="9" t="n"/>
      <x:c r="K41" s="9" t="n"/>
      <x:c r="L41" s="9" t="n"/>
      <x:c r="M41" s="9" t="n"/>
      <x:c r="N41" s="9" t="n"/>
      <x:c r="O41" s="9" t="n"/>
      <x:c r="P41" s="9" t="n"/>
      <x:c r="Q41" s="9" t="n"/>
      <x:c r="R41" s="9" t="n"/>
      <x:c r="S41" s="9" t="n"/>
      <x:c r="T41" s="9" t="n"/>
      <x:c r="U41" s="9" t="n"/>
    </x:row>
    <x:row r="42">
      <x:c r="A42" s="9" t="n"/>
      <x:c r="B42" s="9" t="n"/>
      <x:c r="C42" s="9" t="n"/>
      <x:c r="D42" s="9" t="n"/>
      <x:c r="E42" s="9" t="n"/>
      <x:c r="F42" s="9" t="n"/>
      <x:c r="G42" s="9" t="n"/>
      <x:c r="H42" s="9" t="n"/>
      <x:c r="I42" s="9" t="n"/>
      <x:c r="J42" s="9" t="n"/>
      <x:c r="K42" s="9" t="n"/>
      <x:c r="L42" s="9" t="n"/>
      <x:c r="M42" s="9" t="n"/>
      <x:c r="N42" s="9" t="n"/>
      <x:c r="O42" s="9" t="n"/>
      <x:c r="P42" s="9" t="n"/>
      <x:c r="Q42" s="9" t="n"/>
      <x:c r="R42" s="9" t="n"/>
      <x:c r="S42" s="9" t="n"/>
      <x:c r="T42" s="9" t="n"/>
      <x:c r="U42" s="9" t="n"/>
    </x:row>
    <x:row r="43">
      <x:c r="A43" s="9" t="n"/>
      <x:c r="B43" s="9" t="n"/>
      <x:c r="C43" s="9" t="n"/>
      <x:c r="D43" s="9" t="n"/>
      <x:c r="E43" s="9" t="n"/>
      <x:c r="F43" s="9" t="n"/>
      <x:c r="G43" s="9" t="n"/>
      <x:c r="H43" s="9" t="n"/>
      <x:c r="I43" s="9" t="n"/>
      <x:c r="J43" s="9" t="n"/>
      <x:c r="K43" s="9" t="n"/>
      <x:c r="L43" s="9" t="n"/>
      <x:c r="M43" s="9" t="n"/>
      <x:c r="N43" s="9" t="n"/>
      <x:c r="O43" s="9" t="n"/>
      <x:c r="P43" s="9" t="n"/>
      <x:c r="Q43" s="9" t="n"/>
      <x:c r="R43" s="9" t="n"/>
      <x:c r="S43" s="9" t="n"/>
      <x:c r="T43" s="9" t="n"/>
      <x:c r="U43" s="9" t="n"/>
    </x:row>
    <x:row r="44">
      <x:c r="A44" s="9" t="n"/>
      <x:c r="B44" s="9" t="n"/>
      <x:c r="C44" s="9" t="n"/>
      <x:c r="D44" s="9" t="n"/>
      <x:c r="E44" s="9" t="n"/>
      <x:c r="F44" s="9" t="n"/>
      <x:c r="G44" s="9" t="n"/>
      <x:c r="H44" s="9" t="n"/>
      <x:c r="I44" s="9" t="n"/>
      <x:c r="J44" s="9" t="n"/>
      <x:c r="K44" s="9" t="n"/>
      <x:c r="L44" s="9" t="n"/>
      <x:c r="M44" s="9" t="n"/>
      <x:c r="N44" s="9" t="n"/>
      <x:c r="O44" s="9" t="n"/>
      <x:c r="P44" s="9" t="n"/>
      <x:c r="Q44" s="9" t="n"/>
      <x:c r="R44" s="9" t="n"/>
      <x:c r="S44" s="9" t="n"/>
      <x:c r="T44" s="9" t="n"/>
      <x:c r="U44" s="9" t="n"/>
    </x:row>
    <x:row r="45">
      <x:c r="A45" s="9" t="n"/>
      <x:c r="B45" s="9" t="n"/>
      <x:c r="C45" s="9" t="n"/>
      <x:c r="D45" s="9" t="n"/>
      <x:c r="E45" s="9" t="n"/>
      <x:c r="F45" s="9" t="n"/>
      <x:c r="G45" s="9" t="n"/>
      <x:c r="H45" s="9" t="n"/>
      <x:c r="I45" s="9" t="n"/>
      <x:c r="J45" s="9" t="n"/>
      <x:c r="K45" s="9" t="n"/>
      <x:c r="L45" s="9" t="n"/>
      <x:c r="M45" s="9" t="n"/>
      <x:c r="N45" s="9" t="n"/>
      <x:c r="O45" s="9" t="n"/>
      <x:c r="P45" s="9" t="n"/>
      <x:c r="Q45" s="9" t="n"/>
      <x:c r="R45" s="9" t="n"/>
      <x:c r="S45" s="9" t="n"/>
      <x:c r="T45" s="9" t="n"/>
      <x:c r="U45" s="9" t="n"/>
    </x:row>
    <x:row r="46">
      <x:c r="A46" s="9" t="n"/>
      <x:c r="B46" s="9" t="n"/>
      <x:c r="C46" s="9" t="n"/>
      <x:c r="D46" s="9" t="n"/>
      <x:c r="E46" s="9" t="n"/>
      <x:c r="F46" s="9" t="n"/>
      <x:c r="G46" s="9" t="n"/>
      <x:c r="H46" s="9" t="n"/>
      <x:c r="I46" s="9" t="n"/>
      <x:c r="J46" s="9" t="n"/>
      <x:c r="K46" s="9" t="n"/>
      <x:c r="L46" s="9" t="n"/>
      <x:c r="M46" s="9" t="n"/>
      <x:c r="N46" s="9" t="n"/>
      <x:c r="O46" s="9" t="n"/>
      <x:c r="P46" s="9" t="n"/>
      <x:c r="Q46" s="9" t="n"/>
      <x:c r="R46" s="9" t="n"/>
      <x:c r="S46" s="9" t="n"/>
      <x:c r="T46" s="9" t="n"/>
      <x:c r="U46" s="9" t="n"/>
    </x:row>
    <x:row r="47">
      <x:c r="A47" s="9" t="n"/>
      <x:c r="B47" s="9" t="n"/>
      <x:c r="C47" s="9" t="n"/>
      <x:c r="D47" s="9" t="n"/>
      <x:c r="E47" s="9" t="n"/>
      <x:c r="F47" s="9" t="n"/>
      <x:c r="G47" s="9" t="n"/>
      <x:c r="H47" s="9" t="n"/>
      <x:c r="I47" s="9" t="n"/>
      <x:c r="J47" s="9" t="n"/>
      <x:c r="K47" s="9" t="n"/>
      <x:c r="L47" s="9" t="n"/>
      <x:c r="M47" s="9" t="n"/>
      <x:c r="N47" s="9" t="n"/>
      <x:c r="O47" s="9" t="n"/>
      <x:c r="P47" s="9" t="n"/>
      <x:c r="Q47" s="9" t="n"/>
      <x:c r="R47" s="9" t="n"/>
      <x:c r="S47" s="9" t="n"/>
      <x:c r="T47" s="9" t="n"/>
      <x:c r="U47" s="9" t="n"/>
    </x:row>
    <x:row r="48">
      <x:c r="A48" s="9" t="n"/>
      <x:c r="B48" s="9" t="n"/>
      <x:c r="C48" s="9" t="n"/>
      <x:c r="D48" s="9" t="n"/>
      <x:c r="E48" s="9" t="n"/>
      <x:c r="F48" s="9" t="n"/>
      <x:c r="G48" s="9" t="n"/>
      <x:c r="H48" s="9" t="n"/>
      <x:c r="I48" s="9" t="n"/>
      <x:c r="J48" s="9" t="n"/>
      <x:c r="K48" s="9" t="n"/>
      <x:c r="L48" s="9" t="n"/>
      <x:c r="M48" s="9" t="n"/>
      <x:c r="N48" s="9" t="n"/>
      <x:c r="O48" s="9" t="n"/>
      <x:c r="P48" s="9" t="n"/>
      <x:c r="Q48" s="9" t="n"/>
      <x:c r="R48" s="9" t="n"/>
      <x:c r="S48" s="9" t="n"/>
      <x:c r="T48" s="9" t="n"/>
      <x:c r="U48" s="9" t="n"/>
    </x:row>
    <x:row r="49">
      <x:c r="A49" s="9" t="n"/>
      <x:c r="B49" s="9" t="n"/>
      <x:c r="C49" s="9" t="n"/>
      <x:c r="D49" s="9" t="n"/>
      <x:c r="E49" s="9" t="n"/>
      <x:c r="F49" s="9" t="n"/>
      <x:c r="G49" s="9" t="n"/>
      <x:c r="H49" s="9" t="n"/>
      <x:c r="I49" s="9" t="n"/>
      <x:c r="J49" s="9" t="n"/>
      <x:c r="K49" s="9" t="n"/>
      <x:c r="L49" s="9" t="n"/>
      <x:c r="M49" s="9" t="n"/>
      <x:c r="N49" s="9" t="n"/>
      <x:c r="O49" s="9" t="n"/>
      <x:c r="P49" s="9" t="n"/>
      <x:c r="Q49" s="9" t="n"/>
      <x:c r="R49" s="9" t="n"/>
      <x:c r="S49" s="9" t="n"/>
      <x:c r="T49" s="9" t="n"/>
      <x:c r="U49" s="9" t="n"/>
    </x:row>
    <x:row r="50">
      <x:c r="A50" s="9" t="n"/>
      <x:c r="B50" s="9" t="n"/>
      <x:c r="C50" s="9" t="n"/>
      <x:c r="D50" s="9" t="n"/>
      <x:c r="E50" s="9" t="n"/>
      <x:c r="F50" s="9" t="n"/>
      <x:c r="G50" s="9" t="n"/>
      <x:c r="H50" s="9" t="n"/>
      <x:c r="I50" s="9" t="n"/>
      <x:c r="J50" s="9" t="n"/>
      <x:c r="K50" s="9" t="n"/>
      <x:c r="L50" s="9" t="n"/>
      <x:c r="M50" s="9" t="n"/>
      <x:c r="N50" s="9" t="n"/>
      <x:c r="O50" s="9" t="n"/>
      <x:c r="P50" s="9" t="n"/>
      <x:c r="Q50" s="9" t="n"/>
      <x:c r="R50" s="9" t="n"/>
      <x:c r="S50" s="9" t="n"/>
      <x:c r="T50" s="9" t="n"/>
      <x:c r="U50" s="9" t="n"/>
    </x:row>
    <x:row r="51">
      <x:c r="A51" s="9" t="n"/>
      <x:c r="B51" s="9" t="n"/>
      <x:c r="C51" s="9" t="n"/>
      <x:c r="D51" s="9" t="n"/>
      <x:c r="E51" s="9" t="n"/>
      <x:c r="F51" s="9" t="n"/>
      <x:c r="G51" s="9" t="n"/>
      <x:c r="H51" s="9" t="n"/>
      <x:c r="I51" s="9" t="n"/>
      <x:c r="J51" s="9" t="n"/>
      <x:c r="K51" s="9" t="n"/>
      <x:c r="L51" s="9" t="n"/>
      <x:c r="M51" s="9" t="n"/>
      <x:c r="N51" s="9" t="n"/>
      <x:c r="O51" s="9" t="n"/>
      <x:c r="P51" s="9" t="n"/>
      <x:c r="Q51" s="9" t="n"/>
      <x:c r="R51" s="9" t="n"/>
      <x:c r="S51" s="9" t="n"/>
      <x:c r="T51" s="9" t="n"/>
      <x:c r="U51" s="9" t="n"/>
    </x:row>
    <x:row r="52">
      <x:c r="A52" s="9" t="n"/>
      <x:c r="B52" s="9" t="n"/>
      <x:c r="C52" s="9" t="n"/>
      <x:c r="D52" s="9" t="n"/>
      <x:c r="E52" s="9" t="n"/>
      <x:c r="F52" s="9" t="n"/>
      <x:c r="G52" s="9" t="n"/>
      <x:c r="H52" s="9" t="n"/>
      <x:c r="I52" s="9" t="n"/>
      <x:c r="J52" s="9" t="n"/>
      <x:c r="K52" s="9" t="n"/>
      <x:c r="L52" s="9" t="n"/>
      <x:c r="M52" s="9" t="n"/>
      <x:c r="N52" s="9" t="n"/>
      <x:c r="O52" s="9" t="n"/>
      <x:c r="P52" s="9" t="n"/>
      <x:c r="Q52" s="9" t="n"/>
      <x:c r="R52" s="9" t="n"/>
      <x:c r="S52" s="9" t="n"/>
      <x:c r="T52" s="9" t="n"/>
      <x:c r="U52" s="9" t="n"/>
    </x:row>
    <x:row r="53">
      <x:c r="A53" s="9" t="n"/>
      <x:c r="B53" s="9" t="n"/>
      <x:c r="C53" s="9" t="n"/>
      <x:c r="D53" s="9" t="n"/>
      <x:c r="E53" s="9" t="n"/>
      <x:c r="F53" s="9" t="n"/>
      <x:c r="G53" s="9" t="n"/>
      <x:c r="H53" s="9" t="n"/>
      <x:c r="I53" s="9" t="n"/>
      <x:c r="J53" s="9" t="n"/>
      <x:c r="K53" s="9" t="n"/>
      <x:c r="L53" s="9" t="n"/>
      <x:c r="M53" s="9" t="n"/>
      <x:c r="N53" s="9" t="n"/>
      <x:c r="O53" s="9" t="n"/>
      <x:c r="P53" s="9" t="n"/>
      <x:c r="Q53" s="9" t="n"/>
      <x:c r="R53" s="9" t="n"/>
      <x:c r="S53" s="9" t="n"/>
      <x:c r="T53" s="9" t="n"/>
      <x:c r="U53" s="9" t="n"/>
    </x:row>
    <x:row r="54">
      <x:c r="A54" s="9" t="n"/>
      <x:c r="B54" s="9" t="n"/>
      <x:c r="C54" s="9" t="n"/>
      <x:c r="D54" s="9" t="n"/>
      <x:c r="E54" s="9" t="n"/>
      <x:c r="F54" s="9" t="n"/>
      <x:c r="G54" s="9" t="n"/>
      <x:c r="H54" s="9" t="n"/>
      <x:c r="I54" s="9" t="n"/>
      <x:c r="J54" s="9" t="n"/>
      <x:c r="K54" s="9" t="n"/>
      <x:c r="L54" s="9" t="n"/>
      <x:c r="M54" s="9" t="n"/>
      <x:c r="N54" s="9" t="n"/>
      <x:c r="O54" s="9" t="n"/>
      <x:c r="P54" s="9" t="n"/>
      <x:c r="Q54" s="9" t="n"/>
      <x:c r="R54" s="9" t="n"/>
      <x:c r="S54" s="9" t="n"/>
      <x:c r="T54" s="9" t="n"/>
      <x:c r="U54" s="9" t="n"/>
    </x:row>
    <x:row r="55">
      <x:c r="A55" s="9" t="n"/>
      <x:c r="B55" s="9" t="n"/>
      <x:c r="C55" s="9" t="n"/>
      <x:c r="D55" s="9" t="n"/>
      <x:c r="E55" s="9" t="n"/>
      <x:c r="F55" s="9" t="n"/>
      <x:c r="G55" s="9" t="n"/>
      <x:c r="H55" s="9" t="n"/>
      <x:c r="I55" s="9" t="n"/>
      <x:c r="J55" s="9" t="n"/>
      <x:c r="K55" s="9" t="n"/>
      <x:c r="L55" s="9" t="n"/>
      <x:c r="M55" s="9" t="n"/>
      <x:c r="N55" s="9" t="n"/>
      <x:c r="O55" s="9" t="n"/>
      <x:c r="P55" s="9" t="n"/>
      <x:c r="Q55" s="9" t="n"/>
      <x:c r="R55" s="9" t="n"/>
      <x:c r="S55" s="9" t="n"/>
      <x:c r="T55" s="9" t="n"/>
      <x:c r="U55" s="9" t="n"/>
    </x:row>
    <x:row r="56">
      <x:c r="A56" s="9" t="n"/>
      <x:c r="B56" s="9" t="n"/>
      <x:c r="C56" s="9" t="n"/>
      <x:c r="D56" s="9" t="n"/>
      <x:c r="E56" s="9" t="n"/>
      <x:c r="F56" s="9" t="n"/>
      <x:c r="G56" s="9" t="n"/>
      <x:c r="H56" s="9" t="n"/>
      <x:c r="I56" s="9" t="n"/>
      <x:c r="J56" s="9" t="n"/>
      <x:c r="K56" s="9" t="n"/>
      <x:c r="L56" s="9" t="n"/>
      <x:c r="M56" s="9" t="n"/>
      <x:c r="N56" s="9" t="n"/>
      <x:c r="O56" s="9" t="n"/>
      <x:c r="P56" s="9" t="n"/>
      <x:c r="Q56" s="9" t="n"/>
      <x:c r="R56" s="9" t="n"/>
      <x:c r="S56" s="9" t="n"/>
      <x:c r="T56" s="9" t="n"/>
      <x:c r="U56" s="9" t="n"/>
    </x:row>
    <x:row r="57">
      <x:c r="A57" s="9" t="n"/>
      <x:c r="B57" s="9" t="n"/>
      <x:c r="C57" s="9" t="n"/>
      <x:c r="D57" s="9" t="n"/>
      <x:c r="E57" s="9" t="n"/>
      <x:c r="F57" s="9" t="n"/>
      <x:c r="G57" s="9" t="n"/>
      <x:c r="H57" s="9" t="n"/>
      <x:c r="I57" s="9" t="n"/>
      <x:c r="J57" s="9" t="n"/>
      <x:c r="K57" s="9" t="n"/>
      <x:c r="L57" s="9" t="n"/>
      <x:c r="M57" s="9" t="n"/>
      <x:c r="N57" s="9" t="n"/>
      <x:c r="O57" s="9" t="n"/>
      <x:c r="P57" s="9" t="n"/>
      <x:c r="Q57" s="9" t="n"/>
      <x:c r="R57" s="9" t="n"/>
      <x:c r="S57" s="9" t="n"/>
      <x:c r="T57" s="9" t="n"/>
      <x:c r="U57" s="9" t="n"/>
    </x:row>
    <x:row r="58">
      <x:c r="A58" s="9" t="n"/>
      <x:c r="B58" s="9" t="n"/>
      <x:c r="C58" s="9" t="n"/>
      <x:c r="D58" s="9" t="n"/>
      <x:c r="E58" s="9" t="n"/>
      <x:c r="F58" s="9" t="n"/>
      <x:c r="G58" s="9" t="n"/>
      <x:c r="H58" s="9" t="n"/>
      <x:c r="I58" s="9" t="n"/>
      <x:c r="J58" s="9" t="n"/>
      <x:c r="K58" s="9" t="n"/>
      <x:c r="L58" s="9" t="n"/>
      <x:c r="M58" s="9" t="n"/>
      <x:c r="N58" s="9" t="n"/>
      <x:c r="O58" s="9" t="n"/>
      <x:c r="P58" s="9" t="n"/>
      <x:c r="Q58" s="9" t="n"/>
      <x:c r="R58" s="9" t="n"/>
      <x:c r="S58" s="9" t="n"/>
      <x:c r="T58" s="9" t="n"/>
      <x:c r="U58" s="9" t="n"/>
    </x:row>
    <x:row r="59">
      <x:c r="A59" s="9" t="n"/>
      <x:c r="B59" s="9" t="n"/>
      <x:c r="C59" s="9" t="n"/>
      <x:c r="D59" s="9" t="n"/>
      <x:c r="E59" s="9" t="n"/>
      <x:c r="F59" s="9" t="n"/>
      <x:c r="G59" s="9" t="n"/>
      <x:c r="H59" s="9" t="n"/>
      <x:c r="I59" s="9" t="n"/>
      <x:c r="J59" s="9" t="n"/>
      <x:c r="K59" s="9" t="n"/>
      <x:c r="L59" s="9" t="n"/>
      <x:c r="M59" s="9" t="n"/>
      <x:c r="N59" s="9" t="n"/>
      <x:c r="O59" s="9" t="n"/>
      <x:c r="P59" s="9" t="n"/>
      <x:c r="Q59" s="9" t="n"/>
      <x:c r="R59" s="9" t="n"/>
      <x:c r="S59" s="9" t="n"/>
      <x:c r="T59" s="9" t="n"/>
      <x:c r="U59" s="9" t="n"/>
    </x:row>
    <x:row r="60">
      <x:c r="A60" s="9" t="n"/>
      <x:c r="B60" s="9" t="n"/>
      <x:c r="C60" s="9" t="n"/>
      <x:c r="D60" s="9" t="n"/>
      <x:c r="E60" s="9" t="n"/>
      <x:c r="F60" s="9" t="n"/>
      <x:c r="G60" s="9" t="n"/>
      <x:c r="H60" s="9" t="n"/>
      <x:c r="I60" s="9" t="n"/>
      <x:c r="J60" s="9" t="n"/>
      <x:c r="K60" s="9" t="n"/>
      <x:c r="L60" s="9" t="n"/>
      <x:c r="M60" s="9" t="n"/>
      <x:c r="N60" s="9" t="n"/>
      <x:c r="O60" s="9" t="n"/>
      <x:c r="P60" s="9" t="n"/>
      <x:c r="Q60" s="9" t="n"/>
      <x:c r="R60" s="9" t="n"/>
      <x:c r="S60" s="9" t="n"/>
      <x:c r="T60" s="9" t="n"/>
      <x:c r="U60" s="9" t="n"/>
    </x:row>
  </x:sheetData>
  <x:mergeCells>
    <x:mergeCell ref="G6:H7"/>
    <x:mergeCell ref="J5:N5"/>
    <x:mergeCell ref="A1:N1"/>
    <x:mergeCell ref="A16:N16"/>
    <x:mergeCell ref="H23:N25"/>
    <x:mergeCell ref="A2:N2"/>
    <x:mergeCell ref="A5:B5"/>
    <x:mergeCell ref="G5:H5"/>
    <x:mergeCell ref="D6:E7"/>
    <x:mergeCell ref="H19:N24"/>
    <x:mergeCell ref="A4:N4"/>
    <x:mergeCell ref="D5:E5"/>
    <x:mergeCell ref="A6:B7"/>
    <x:mergeCell ref="J6:N7"/>
    <x:mergeCell ref="A8:D8"/>
    <x:mergeCell ref="A9:D9"/>
    <x:mergeCell ref="F8:I8"/>
    <x:mergeCell ref="F9:I9"/>
    <x:mergeCell ref="K8:N8"/>
    <x:mergeCell ref="K9:N9"/>
    <x:mergeCell ref="A15:N15"/>
    <x:mergeCell ref="A10:F10"/>
    <x:mergeCell ref="H10:N10"/>
    <x:mergeCell ref="A17:F17"/>
    <x:mergeCell ref="H18:N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7" style="8" customWidth="1"/>
    <x:col min="2" max="2" width="11" style="8" customWidth="1"/>
    <x:col min="3" max="3" width="22" style="8" customWidth="1"/>
    <x:col min="4" max="4" width="13" style="8" customWidth="1"/>
    <x:col min="5" max="5" width="11" style="8" customWidth="1"/>
    <x:col min="6" max="6" width="18" style="8" customWidth="1"/>
    <x:col min="7" max="7" width="10" style="8" customWidth="1"/>
    <x:col min="8" max="8" width="12" style="8" customWidth="1"/>
    <x:col min="9" max="9" width="17" style="8" customWidth="1"/>
    <x:col min="10" max="10" width="12" style="8" customWidth="1"/>
    <x:col min="11" max="11" width="19" style="8" customWidth="1"/>
    <x:col min="12" max="12" width="11" style="8" customWidth="1"/>
    <x:col min="13" max="13" width="19" style="8" customWidth="1"/>
    <x:col min="14" max="14" width="11" style="8" customWidth="1"/>
    <x:col min="15" max="15" width="15" style="8" customWidth="1"/>
    <x:col min="16" max="16" width="12" style="8" customWidth="1"/>
    <x:col min="17" max="17" width="12" style="8" customWidth="1"/>
    <x:col min="18" max="18" width="11" style="8" customWidth="1"/>
    <x:col min="19" max="19" width="11" style="8" customWidth="1"/>
    <x:col min="20" max="20" width="16" style="8" customWidth="1"/>
    <x:col min="21" max="21" width="11" style="8" customWidth="1"/>
    <x:col min="22" max="22" width="13" style="8" customWidth="1"/>
    <x:col min="23" max="23" width="16" style="8" customWidth="1"/>
    <x:col min="24" max="24" width="16" style="8" customWidth="1"/>
    <x:col min="25" max="25" width="10" style="8" customWidth="1"/>
    <x:col min="26" max="26" width="31" style="8" customWidth="1"/>
    <x:col min="43" max="43" width="3" hidden="0" customWidth="1"/>
    <x:col min="44" max="44" width="3" hidden="0" customWidth="1"/>
    <x:col min="45" max="45" width="3" hidden="0" customWidth="1"/>
  </x:cols>
  <x:sheetData>
    <x:row r="1" s="8" customFormat="1" ht="24" customHeight="1">
      <x:c r="A1" s="116" t="inlineStr">
        <x:is>
          <x:t xml:space="preserve">Kampregistrering – indtast kampene her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  <x:c r="AA1" s="60" t="n"/>
      <x:c r="AB1" s="60" t="n"/>
      <x:c r="AC1" s="60" t="n"/>
      <x:c r="AD1" s="60" t="n"/>
      <x:c r="AE1" s="60" t="n"/>
      <x:c r="AF1" s="60" t="n"/>
      <x:c r="AG1" s="60" t="n"/>
      <x:c r="AH1" s="60" t="n"/>
      <x:c r="AI1" s="60" t="n"/>
      <x:c r="AJ1" s="60" t="n"/>
      <x:c r="AK1" s="60" t="n"/>
      <x:c r="AL1" s="60" t="n"/>
      <x:c r="AM1" s="60" t="n"/>
      <x:c r="AN1" s="60" t="n"/>
      <x:c r="AO1" s="60" t="n"/>
      <x:c r="AP1" s="60" t="n"/>
      <x:c r="AQ1" s="225"/>
      <x:c r="AR1" s="225"/>
      <x:c r="AS1" s="225"/>
    </x:row>
    <x:row r="2" s="8" customFormat="1" ht="24" customHeight="1">
      <x:c r="A2" s="117" t="inlineStr">
        <x:is>
          <x:t xml:space="preserve">Kun de gule felter skal udfyldes. Pointgrundlaget er frosset i hele stævnet. Nye point vises først, når stævnet er afsluttet.</x:t>
        </x:is>
      </x:c>
      <x:c r="B2" s="1" t="n"/>
      <x:c r="C2" s="1" t="n"/>
      <x:c r="D2" s="1" t="n"/>
      <x:c r="E2" s="1" t="n"/>
      <x:c r="F2" s="1" t="n"/>
      <x:c r="G2" s="1" t="n"/>
      <x:c r="H2" s="1" t="n"/>
      <x:c r="I2" s="1" t="n"/>
      <x:c r="J2" s="1" t="n"/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  <x:c r="AA2" s="60" t="n"/>
      <x:c r="AB2" s="60" t="n"/>
      <x:c r="AC2" s="60" t="n"/>
      <x:c r="AD2" s="60" t="n"/>
      <x:c r="AE2" s="60" t="n"/>
      <x:c r="AF2" s="60" t="n"/>
      <x:c r="AG2" s="60" t="n"/>
      <x:c r="AH2" s="60" t="n"/>
      <x:c r="AI2" s="60" t="n"/>
      <x:c r="AJ2" s="60" t="n"/>
      <x:c r="AK2" s="60" t="n"/>
      <x:c r="AL2" s="60" t="n"/>
      <x:c r="AM2" s="60" t="n"/>
      <x:c r="AN2" s="60" t="n"/>
      <x:c r="AO2" s="60" t="n"/>
      <x:c r="AP2" s="60" t="n"/>
    </x:row>
    <x:row r="3">
      <x:c r="A3" s="60" t="n"/>
      <x:c r="B3" s="60" t="n"/>
      <x:c r="C3" s="60" t="n"/>
      <x:c r="D3" s="60" t="n"/>
      <x:c r="E3" s="60" t="n"/>
      <x:c r="F3" s="60" t="n"/>
      <x:c r="G3" s="60" t="n"/>
      <x:c r="H3" s="60" t="n"/>
      <x:c r="I3" s="60" t="n"/>
      <x:c r="J3" s="60" t="n"/>
      <x:c r="K3" s="60" t="n"/>
      <x:c r="L3" s="60" t="n"/>
      <x:c r="M3" s="60" t="n"/>
      <x:c r="N3" s="60" t="n"/>
      <x:c r="O3" s="60" t="n"/>
      <x:c r="P3" s="60" t="n"/>
      <x:c r="Q3" s="60" t="n"/>
      <x:c r="R3" s="60" t="n"/>
      <x:c r="S3" s="60" t="n"/>
      <x:c r="T3" s="60" t="n"/>
      <x:c r="U3" s="60" t="n"/>
      <x:c r="V3" s="60" t="n"/>
      <x:c r="W3" s="60" t="n"/>
      <x:c r="X3" s="60" t="n"/>
      <x:c r="Y3" s="60" t="n"/>
      <x:c r="Z3" s="60" t="n"/>
      <x:c r="AA3" s="60" t="n"/>
      <x:c r="AB3" s="60" t="n"/>
      <x:c r="AC3" s="60" t="n"/>
      <x:c r="AD3" s="60" t="n"/>
      <x:c r="AE3" s="60" t="n"/>
      <x:c r="AF3" s="60" t="n"/>
      <x:c r="AG3" s="60" t="n"/>
      <x:c r="AH3" s="60" t="n"/>
      <x:c r="AI3" s="60" t="n"/>
      <x:c r="AJ3" s="60" t="n"/>
      <x:c r="AK3" s="60" t="n"/>
      <x:c r="AL3" s="60" t="n"/>
      <x:c r="AM3" s="60" t="n"/>
      <x:c r="AN3" s="60" t="n"/>
      <x:c r="AO3" s="60" t="n"/>
      <x:c r="AP3" s="60" t="n"/>
    </x:row>
    <x:row r="4" s="8" customFormat="1" ht="22" customHeight="1">
      <x:c r="A4" s="69" t="inlineStr">
        <x:is>
          <x:t xml:space="preserve">Udgangspunkt efter Fyn</x:t>
        </x:is>
      </x:c>
      <x:c r="B4" s="69" t="inlineStr">
        <x:is>
          <x:t xml:space="preserve">Single</x:t>
        </x:is>
      </x:c>
      <x:c r="C4" s="69" t="inlineStr">
        <x:is>
          <x:t xml:space="preserve">S kampe</x:t>
        </x:is>
      </x:c>
      <x:c r="D4" s="69" t="inlineStr">
        <x:is>
          <x:t xml:space="preserve">Double</x:t>
        </x:is>
      </x:c>
      <x:c r="E4" s="69" t="inlineStr">
        <x:is>
          <x:t xml:space="preserve">D kampe</x:t>
        </x:is>
      </x:c>
      <x:c r="F4" s="69" t="inlineStr">
        <x:is>
          <x:t xml:space="preserve">Mix</x:t>
        </x:is>
      </x:c>
      <x:c r="G4" s="69" t="inlineStr">
        <x:is>
          <x:t xml:space="preserve">M kampe</x:t>
        </x:is>
      </x:c>
      <x:c r="H4" s="69" t="inlineStr">
        <x:is>
          <x:t xml:space="preserve">TN</x:t>
        </x:is>
      </x:c>
      <x:c r="I4" s="60" t="n"/>
      <x:c r="J4" s="118" t="inlineStr">
        <x:is>
          <x:t xml:space="preserve">Aktuelt stævne – pointhøst</x:t>
        </x:is>
      </x:c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  <x:c r="AA4" s="60" t="n"/>
      <x:c r="AB4" s="60" t="n"/>
      <x:c r="AC4" s="60" t="n"/>
      <x:c r="AD4" s="60" t="n"/>
      <x:c r="AE4" s="60" t="n"/>
      <x:c r="AF4" s="60" t="n"/>
      <x:c r="AG4" s="60" t="n"/>
      <x:c r="AH4" s="60" t="n"/>
      <x:c r="AI4" s="60" t="n"/>
      <x:c r="AJ4" s="60" t="n"/>
      <x:c r="AK4" s="60" t="n"/>
      <x:c r="AL4" s="60" t="n"/>
      <x:c r="AM4" s="60" t="n"/>
      <x:c r="AN4" s="60" t="n"/>
      <x:c r="AO4" s="60" t="n"/>
      <x:c r="AP4" s="60" t="n"/>
    </x:row>
    <x:row r="5" s="8" customFormat="1" ht="22" customHeight="1">
      <x:c r="A5" s="119" t="inlineStr">
        <x:is>
          <x:t xml:space="preserve">Single 1712 / 46    Double 1632 / 41    Mix 1386 / 5    TN 1676</x:t>
        </x:is>
      </x:c>
      <x:c r="B5" s="1" t="n"/>
      <x:c r="C5" s="1" t="n"/>
      <x:c r="D5" s="1" t="n"/>
      <x:c r="E5" s="1" t="n"/>
      <x:c r="F5" s="1" t="n"/>
      <x:c r="G5" s="1" t="n"/>
      <x:c r="H5" s="1" t="n"/>
      <x:c r="I5" s="60" t="n"/>
      <x:c r="J5" s="77" t="str">
        <x:v>Stævne</x:v>
      </x:c>
      <x:c r="K5" s="81" t="str">
        <x:f>Forside!$X$5</x:f>
        <x:v>Herlev/Hjorten</x:v>
      </x:c>
      <x:c r="L5" s="77" t="str">
        <x:v>Status</x:v>
      </x:c>
      <x:c r="M5" s="81" t="str">
        <x:v>I gang</x:v>
      </x:c>
      <x:c r="N5" s="77" t="str">
        <x:v>Kampe</x:v>
      </x:c>
      <x:c r="O5" s="81" t="n">
        <x:f>Forside!$Z$5</x:f>
        <x:v>0</x:v>
      </x:c>
      <x:c r="P5" s="77" t="str">
        <x:v>W / L</x:v>
      </x:c>
      <x:c r="Q5" s="81" t="str">
        <x:f>Forside!$AA$5&amp;" / "&amp;Forside!$AB$5</x:f>
        <x:v>0 / 0</x:v>
      </x:c>
      <x:c r="R5" s="77" t="str">
        <x:v>Planlagt</x:v>
      </x:c>
      <x:c r="S5" s="81" t="n">
        <x:f>Forside!$AD$5</x:f>
        <x:v>3</x:v>
      </x:c>
      <x:c r="T5" s="60" t="n"/>
      <x:c r="U5" s="60" t="n"/>
      <x:c r="V5" s="60" t="n"/>
      <x:c r="W5" s="60" t="n"/>
      <x:c r="X5" s="60" t="n"/>
      <x:c r="Y5" s="60" t="n"/>
      <x:c r="Z5" s="60" t="n"/>
      <x:c r="AA5" s="60" t="n"/>
      <x:c r="AB5" s="60" t="n"/>
      <x:c r="AC5" s="60" t="n"/>
      <x:c r="AD5" s="60" t="n"/>
      <x:c r="AE5" s="60" t="n"/>
      <x:c r="AF5" s="60" t="n"/>
      <x:c r="AG5" s="60" t="n"/>
      <x:c r="AH5" s="60" t="n"/>
      <x:c r="AI5" s="60" t="n"/>
      <x:c r="AJ5" s="60" t="n"/>
      <x:c r="AK5" s="60" t="n"/>
      <x:c r="AL5" s="60" t="n"/>
      <x:c r="AM5" s="60" t="n"/>
      <x:c r="AN5" s="60" t="n"/>
      <x:c r="AO5" s="60" t="n"/>
      <x:c r="AP5" s="60" t="n"/>
    </x:row>
    <x:row r="6" s="8" customFormat="1" ht="22" customHeight="1">
      <x:c r="A6" s="1" t="n"/>
      <x:c r="B6" s="1" t="n"/>
      <x:c r="C6" s="1" t="n"/>
      <x:c r="D6" s="1" t="n"/>
      <x:c r="E6" s="1" t="n"/>
      <x:c r="F6" s="1" t="n"/>
      <x:c r="G6" s="1" t="n"/>
      <x:c r="H6" s="1" t="n"/>
      <x:c r="I6" s="60" t="n"/>
      <x:c r="J6" s="77" t="str">
        <x:v>Single +/-</x:v>
      </x:c>
      <x:c r="K6" s="81" t="n">
        <x:f>SUMIFS($U$10:$U$209,$AG$10:$AG$209,MAX($AG$10:$AG$209),$G$10:$G$209,"Single")</x:f>
        <x:v>0</x:v>
      </x:c>
      <x:c r="L6" s="77" t="str">
        <x:v>Double +/-</x:v>
      </x:c>
      <x:c r="M6" s="81" t="n">
        <x:f>SUMIFS($U$10:$U$209,$AG$10:$AG$209,MAX($AG$10:$AG$209),$G$10:$G$209,"Double")</x:f>
        <x:v>0</x:v>
      </x:c>
      <x:c r="N6" s="77" t="str">
        <x:v>Mix +/-</x:v>
      </x:c>
      <x:c r="O6" s="81" t="n">
        <x:f>SUMIFS($U$10:$U$209,$AG$10:$AG$209,MAX($AG$10:$AG$209),$G$10:$G$209,"Mix")</x:f>
        <x:v>0</x:v>
      </x:c>
      <x:c r="P6" s="77" t="str">
        <x:v>Rå pointhøst</x:v>
      </x:c>
      <x:c r="Q6" s="81" t="n">
        <x:f>SUM(K6,M6,O6)</x:f>
        <x:v>0</x:v>
      </x:c>
      <x:c r="R6" s="77" t="str">
        <x:v>TN før</x:v>
      </x:c>
      <x:c r="S6" s="81" t="n">
        <x:f>Forside!$AL$5</x:f>
        <x:v>1770</x:v>
      </x:c>
      <x:c r="T6" s="60" t="n"/>
      <x:c r="U6" s="60" t="n"/>
      <x:c r="V6" s="60" t="n"/>
      <x:c r="W6" s="60" t="n"/>
      <x:c r="X6" s="60" t="n"/>
      <x:c r="Y6" s="60" t="n"/>
      <x:c r="Z6" s="60" t="n"/>
      <x:c r="AA6" s="60" t="n"/>
      <x:c r="AB6" s="60" t="n"/>
      <x:c r="AC6" s="60" t="n"/>
      <x:c r="AD6" s="60" t="n"/>
      <x:c r="AE6" s="60" t="n"/>
      <x:c r="AF6" s="60" t="n"/>
      <x:c r="AG6" s="60" t="n"/>
      <x:c r="AH6" s="60" t="n"/>
      <x:c r="AI6" s="60" t="n"/>
      <x:c r="AJ6" s="60" t="n"/>
      <x:c r="AK6" s="60" t="n"/>
      <x:c r="AL6" s="60" t="n"/>
      <x:c r="AM6" s="60" t="n"/>
      <x:c r="AN6" s="60" t="n"/>
      <x:c r="AO6" s="60" t="n"/>
      <x:c r="AP6" s="60" t="n"/>
    </x:row>
    <x:row r="7" s="8" customFormat="1" ht="22" customHeight="1">
      <x:c r="A7" s="60" t="n"/>
      <x:c r="B7" s="60" t="n"/>
      <x:c r="C7" s="60" t="n"/>
      <x:c r="D7" s="60" t="n"/>
      <x:c r="E7" s="60" t="n"/>
      <x:c r="F7" s="60" t="n"/>
      <x:c r="G7" s="60" t="n"/>
      <x:c r="H7" s="60" t="n"/>
      <x:c r="I7" s="60" t="n"/>
      <x:c r="J7" s="77" t="str">
        <x:v>TN efter / est.</x:v>
      </x:c>
      <x:c r="K7" s="81" t="n">
        <x:f>Forside!$U$5</x:f>
        <x:v>1770</x:v>
      </x:c>
      <x:c r="L7" s="77" t="str">
        <x:v>TN ændring</x:v>
      </x:c>
      <x:c r="M7" s="81" t="n">
        <x:f>K7-S6</x:f>
        <x:v>0</x:v>
      </x:c>
      <x:c r="N7" s="77" t="str">
        <x:v>Til 1850</x:v>
      </x:c>
      <x:c r="O7" s="81" t="n">
        <x:f>'Model &amp; indstillinger'!$B$4-K7</x:f>
        <x:v>80</x:v>
      </x:c>
      <x:c r="P7" s="74" t="str"/>
      <x:c r="Q7" s="120" t="str">
        <x:v>Planlagte kampe påvirker ikke point eller TN. Skift kun Resultat til Vundet/Tabt, når kampen er spillet.</x:v>
      </x:c>
      <x:c r="R7" s="1" t="str"/>
      <x:c r="S7" s="1" t="str"/>
      <x:c r="T7" s="1" t="n"/>
      <x:c r="U7" s="1" t="n"/>
      <x:c r="V7" s="1" t="n"/>
      <x:c r="W7" s="1" t="n"/>
      <x:c r="X7" s="1" t="n"/>
      <x:c r="Y7" s="1" t="n"/>
      <x:c r="Z7" s="1" t="n"/>
      <x:c r="AA7" s="60" t="n"/>
      <x:c r="AB7" s="60" t="n"/>
      <x:c r="AC7" s="60" t="n"/>
      <x:c r="AD7" s="60" t="n"/>
      <x:c r="AE7" s="60" t="n"/>
      <x:c r="AF7" s="60" t="n"/>
      <x:c r="AG7" s="60" t="n"/>
      <x:c r="AH7" s="60" t="n"/>
      <x:c r="AI7" s="60" t="n"/>
      <x:c r="AJ7" s="60" t="n"/>
      <x:c r="AK7" s="60" t="n"/>
      <x:c r="AL7" s="60" t="n"/>
      <x:c r="AM7" s="60" t="n"/>
      <x:c r="AN7" s="60" t="n"/>
      <x:c r="AO7" s="60" t="n"/>
      <x:c r="AP7" s="60" t="n"/>
    </x:row>
    <x:row r="8" s="8" customFormat="1" ht="22" customHeight="1">
      <x:c r="A8" s="121" t="inlineStr">
        <x:is>
          <x:t xml:space="preserve">INDTAST HERUNDER: samme Stævne-navn på alle kampe i samme stævne · Runde bruges til Pulje/Kvartfinale/Semifinale/Finale</x:t>
        </x:is>
      </x:c>
      <x:c r="B8" s="1" t="n"/>
      <x:c r="C8" s="1" t="n"/>
      <x:c r="D8" s="1" t="n"/>
      <x:c r="E8" s="1" t="n"/>
      <x:c r="F8" s="1" t="n"/>
      <x:c r="G8" s="1" t="n"/>
      <x:c r="H8" s="1" t="n"/>
      <x:c r="I8" s="1" t="n"/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  <x:c r="AA8" s="60" t="n"/>
      <x:c r="AB8" s="60" t="n"/>
      <x:c r="AC8" s="60" t="n"/>
      <x:c r="AD8" s="60" t="n"/>
      <x:c r="AE8" s="60" t="n"/>
      <x:c r="AF8" s="60" t="n"/>
      <x:c r="AG8" s="60" t="n"/>
      <x:c r="AH8" s="60" t="n"/>
      <x:c r="AI8" s="60" t="n"/>
      <x:c r="AJ8" s="60" t="n"/>
      <x:c r="AK8" s="60" t="n"/>
      <x:c r="AL8" s="60" t="n"/>
      <x:c r="AM8" s="60" t="n"/>
      <x:c r="AN8" s="60" t="n"/>
      <x:c r="AO8" s="60" t="n"/>
      <x:c r="AP8" s="60" t="n"/>
    </x:row>
    <x:row r="9" s="8" customFormat="1" ht="32" customHeight="1">
      <x:c r="A9" s="85" t="inlineStr">
        <x:is>
          <x:t xml:space="preserve">Kamp #</x:t>
        </x:is>
      </x:c>
      <x:c r="B9" s="85" t="inlineStr">
        <x:is>
          <x:t xml:space="preserve">Dato</x:t>
        </x:is>
      </x:c>
      <x:c r="C9" s="85" t="inlineStr">
        <x:is>
          <x:t xml:space="preserve">Stævne</x:t>
        </x:is>
      </x:c>
      <x:c r="D9" s="85" t="inlineStr">
        <x:is>
          <x:t xml:space="preserve">Runde</x:t>
        </x:is>
      </x:c>
      <x:c r="E9" s="85" t="inlineStr">
        <x:is>
          <x:t xml:space="preserve">Region</x:t>
        </x:is>
      </x:c>
      <x:c r="F9" s="85" t="inlineStr">
        <x:is>
          <x:t xml:space="preserve">Aktivitet</x:t>
        </x:is>
      </x:c>
      <x:c r="G9" s="85" t="inlineStr">
        <x:is>
          <x:t xml:space="preserve">Kategori</x:t>
        </x:is>
      </x:c>
      <x:c r="H9" s="85" t="inlineStr">
        <x:is>
          <x:t xml:space="preserve">Resultat</x:t>
        </x:is>
      </x:c>
      <x:c r="I9" s="85" t="inlineStr">
        <x:is>
          <x:t xml:space="preserve">Partner</x:t>
        </x:is>
      </x:c>
      <x:c r="J9" s="85" t="inlineStr">
        <x:is>
          <x:t xml:space="preserve">Partner point</x:t>
        </x:is>
      </x:c>
      <x:c r="K9" s="85" t="inlineStr">
        <x:is>
          <x:t xml:space="preserve">Modstander 1</x:t>
        </x:is>
      </x:c>
      <x:c r="L9" s="85" t="inlineStr">
        <x:is>
          <x:t xml:space="preserve">Modst. 1 point</x:t>
        </x:is>
      </x:c>
      <x:c r="M9" s="85" t="inlineStr">
        <x:is>
          <x:t xml:space="preserve">Modstander 2</x:t>
        </x:is>
      </x:c>
      <x:c r="N9" s="85" t="inlineStr">
        <x:is>
          <x:t xml:space="preserve">Modst. 2 point</x:t>
        </x:is>
      </x:c>
      <x:c r="O9" s="85" t="inlineStr">
        <x:is>
          <x:t xml:space="preserve">Matti pointgrundlag</x:t>
        </x:is>
      </x:c>
      <x:c r="P9" s="85" t="inlineStr">
        <x:is>
          <x:t xml:space="preserve">Egen side gns.</x:t>
        </x:is>
      </x:c>
      <x:c r="Q9" s="85" t="inlineStr">
        <x:is>
          <x:t xml:space="preserve">Modst. side gns.</x:t>
        </x:is>
      </x:c>
      <x:c r="R9" s="85" t="inlineStr">
        <x:is>
          <x:t xml:space="preserve">Pointdiff</x:t>
        </x:is>
      </x:c>
      <x:c r="S9" s="85" t="inlineStr">
        <x:is>
          <x:t xml:space="preserve">BD-interval</x:t>
        </x:is>
      </x:c>
      <x:c r="T9" s="85" t="inlineStr">
        <x:is>
          <x:t xml:space="preserve">Kamp type</x:t>
        </x:is>
      </x:c>
      <x:c r="U9" s="85" t="inlineStr">
        <x:is>
          <x:t xml:space="preserve">+/- BD point</x:t>
        </x:is>
      </x:c>
      <x:c r="V9" s="85" t="inlineStr">
        <x:is>
          <x:t xml:space="preserve">Stævne +/- kategori</x:t>
        </x:is>
      </x:c>
      <x:c r="W9" s="85" t="inlineStr">
        <x:is>
          <x:t xml:space="preserve">Nye kat.point (kun slutrække)</x:t>
        </x:is>
      </x:c>
      <x:c r="X9" s="85" t="inlineStr">
        <x:is>
          <x:t xml:space="preserve">Nyt vægtet TN (kun slutrække)</x:t>
        </x:is>
      </x:c>
      <x:c r="Y9" s="85" t="inlineStr">
        <x:is>
          <x:t xml:space="preserve">Til 1850</x:t>
        </x:is>
      </x:c>
      <x:c r="Z9" s="85" t="inlineStr">
        <x:is>
          <x:t xml:space="preserve">Note</x:t>
        </x:is>
      </x:c>
      <x:c r="AA9" s="60" t="inlineStr">
        <x:is>
          <x:t xml:space="preserve">S point forecast</x:t>
        </x:is>
      </x:c>
      <x:c r="AB9" s="60" t="inlineStr">
        <x:is>
          <x:t xml:space="preserve">S kampe</x:t>
        </x:is>
      </x:c>
      <x:c r="AC9" s="60" t="inlineStr">
        <x:is>
          <x:t xml:space="preserve">D point forecast</x:t>
        </x:is>
      </x:c>
      <x:c r="AD9" s="60" t="inlineStr">
        <x:is>
          <x:t xml:space="preserve">D kampe</x:t>
        </x:is>
      </x:c>
      <x:c r="AE9" s="60" t="inlineStr">
        <x:is>
          <x:t xml:space="preserve">M point forecast</x:t>
        </x:is>
      </x:c>
      <x:c r="AF9" s="60" t="inlineStr">
        <x:is>
          <x:t xml:space="preserve">M kampe</x:t>
        </x:is>
      </x:c>
      <x:c r="AG9" s="60" t="inlineStr">
        <x:is>
          <x:t xml:space="preserve">Stævne-ID</x:t>
        </x:is>
      </x:c>
      <x:c r="AH9" s="60" t="inlineStr">
        <x:is>
          <x:t xml:space="preserve">S frozen basis</x:t>
        </x:is>
      </x:c>
      <x:c r="AI9" s="60" t="inlineStr">
        <x:is>
          <x:t xml:space="preserve">D frozen basis</x:t>
        </x:is>
      </x:c>
      <x:c r="AJ9" s="60" t="inlineStr">
        <x:is>
          <x:t xml:space="preserve">M frozen basis</x:t>
        </x:is>
      </x:c>
      <x:c r="AK9" s="60" t="inlineStr">
        <x:is>
          <x:t xml:space="preserve">Spillet?</x:t>
        </x:is>
      </x:c>
      <x:c r="AL9" s="60" t="inlineStr">
        <x:is>
          <x:t xml:space="preserve">Senest afsluttet ID</x:t>
        </x:is>
      </x:c>
      <x:c r="AM9" s="60" t="inlineStr">
        <x:is>
          <x:t xml:space="preserve">Aktuelt ID</x:t>
        </x:is>
      </x:c>
      <x:c r="AN9" s="60" t="inlineStr">
        <x:is>
          <x:t xml:space="preserve">Stævne afsluttet?</x:t>
        </x:is>
      </x:c>
      <x:c r="AO9" s="60" t="n"/>
      <x:c r="AP9" s="60" t="inlineStr">
        <x:is>
          <x:t xml:space="preserve">Antal stævner</x:t>
        </x:is>
      </x:c>
      <x:c r="AQ9" t="str">
        <x:v>Stævne-ID lookup</x:v>
      </x:c>
      <x:c r="AR9" t="str">
        <x:v>Stævnenavn lookup</x:v>
      </x:c>
      <x:c r="AS9" t="str">
        <x:v>Region lookup</x:v>
      </x:c>
    </x:row>
    <x:row r="10">
      <x:c r="A10" s="60" t="n">
        <x:f>IF(C10="","",COUNTIF($C$10:C10,"&lt;&gt;"))</x:f>
        <x:v>1</x:v>
      </x:c>
      <x:c r="B10" s="122" t="n">
        <x:v>46271</x:v>
      </x:c>
      <x:c r="C10" s="87" t="inlineStr">
        <x:is>
          <x:t xml:space="preserve">Køge</x:t>
        </x:is>
      </x:c>
      <x:c r="D10" s="87" t="inlineStr">
        <x:is>
          <x:t xml:space="preserve">Pulje</x:t>
        </x:is>
      </x:c>
      <x:c r="E10" s="87" t="inlineStr">
        <x:is>
          <x:t xml:space="preserve">Sjælland</x:t>
        </x:is>
      </x:c>
      <x:c r="F10" s="87" t="inlineStr">
        <x:is>
          <x:t xml:space="preserve">Individuel turnering</x:t>
        </x:is>
      </x:c>
      <x:c r="G10" s="87" t="inlineStr">
        <x:is>
          <x:t xml:space="preserve">Double</x:t>
        </x:is>
      </x:c>
      <x:c r="H10" s="87" t="inlineStr">
        <x:is>
          <x:t xml:space="preserve">Vundet</x:t>
        </x:is>
      </x:c>
      <x:c r="I10" s="87" t="inlineStr">
        <x:is>
          <x:t xml:space="preserve">Malthe Wetke-Halgren</x:t>
        </x:is>
      </x:c>
      <x:c r="J10" s="87" t="n">
        <x:v>1671</x:v>
      </x:c>
      <x:c r="K10" s="87" t="inlineStr">
        <x:is>
          <x:t xml:space="preserve">Sebastian Lundberg</x:t>
        </x:is>
      </x:c>
      <x:c r="L10" s="87" t="n">
        <x:v>1522</x:v>
      </x:c>
      <x:c r="M10" s="87" t="inlineStr">
        <x:is>
          <x:t xml:space="preserve">Alexander Klausen</x:t>
        </x:is>
      </x:c>
      <x:c r="N10" s="87" t="n">
        <x:v>1499</x:v>
      </x:c>
      <x:c r="O10" s="62" t="n">
        <x:f>IF(G10="","",IF(G10="Single",AH10,IF(G10="Double",AI10,AJ10)))</x:f>
        <x:v>1632</x:v>
      </x:c>
      <x:c r="P10" s="62" t="n">
        <x:f>IF(OR(G10="",H10="Ikke spillet"),"",IF(G10="Single",O10,IF(J10="","",(O10+J10)/2)))</x:f>
        <x:v>1651.5</x:v>
      </x:c>
      <x:c r="Q10" s="62" t="n">
        <x:f>IF(OR(G10="",H10="Ikke spillet"),"",IF(G10="Single",L10,IF(OR(L10="",N10=""),"",(L10+N10)/2)))</x:f>
        <x:v>1510.5</x:v>
      </x:c>
      <x:c r="R10" s="62" t="n">
        <x:f>IF(OR(P10="",Q10=""),"",Q10-P10)</x:f>
        <x:v>-141</x:v>
      </x:c>
      <x:c r="S10" s="62" t="str">
        <x:f>IF(H10="Ikke spillet","",IF(R10="","",IF(ABS(R10)&lt;0.000001,"Lige (0)",VLOOKUP(ABS(R10),'BD Pointtabel'!$A$4:$G$15,2,TRUE))))</x:f>
        <x:v>100-149</x:v>
      </x:c>
      <x:c r="T10" s="62" t="str">
        <x:f>IF(H10="Ikke spillet","Ikke spillet",IF(H10="Planlagt","Planlagt",IF(OR(H10="",P10="",Q10=""),"",IF(H10="Vundet",IF(R10&gt;0,"Uventet sejr","Ventet sejr"),IF(R10&gt;=0,"Ventet nederlag","Uventet nederlag")))))</x:f>
        <x:v>Ventet sejr</x:v>
      </x:c>
      <x:c r="U10" s="62" t="n">
        <x:f>IF(OR(H10="Ikke spillet",H10="Planlagt"),"",IF(OR(G10="",H10="",P10="",Q10=""),"",IF(AND(F10="Ungdomsholdturnering",OR(G10="Double",G10="Mix"),H10="Tabt"),0,IF(H10="Vundet",IF(R10&gt;0,VLOOKUP(ABS(R10),'BD Pointtabel'!$A$4:$G$15,4,TRUE),VLOOKUP(ABS(R10),'BD Pointtabel'!$A$4:$G$15,7,TRUE)),IF(R10&gt;=0,VLOOKUP(ABS(R10),'BD Pointtabel'!$A$4:$G$15,6,TRUE),VLOOKUP(ABS(R10),'BD Pointtabel'!$A$4:$G$15,3,TRUE))))))</x:f>
        <x:v>10</x:v>
      </x:c>
      <x:c r="V10" s="62" t="n">
        <x:f>IF(G10="","",SUMIFS($U$10:U10,$AG$10:AG10,AG10,$G$10:G10,G10))</x:f>
        <x:v>10</x:v>
      </x:c>
      <x:c r="W10" s="62" t="str">
        <x:f>IF(C10="","",IF(AN10&lt;&gt;1,"",IF(G10="Single",AA10,IF(G10="Double",AC10,AE10))))</x:f>
      </x:c>
      <x:c r="X10" s="62" t="str">
        <x:f>IF(C10="","",IF(AN10&lt;&gt;1,"",ROUND(((AA10*AB10+AC10*AD10+AE10*AF10)/(AB10+AD10+AF10))+IF((MAX(AA10,AC10,AE10)-(AA10+AC10+AE10-MAX(AA10,AC10,AE10)-MIN(AA10,AC10,AE10)))&lt;'Model &amp; indstillinger'!$E$16,'Model &amp; indstillinger'!$E$18,'Model &amp; indstillinger'!$E$20)*(MAX(AA10,AC10,AE10)-((AA10*AB10+AC10*AD10+AE10*AF10)/(AB10+AD10+AF10))),0)))</x:f>
      </x:c>
      <x:c r="Y10" s="62" t="str">
        <x:f>IF(X10="","",'Model &amp; indstillinger'!$B$4-X10)</x:f>
      </x:c>
      <x:c r="Z10" s="62" t="str">
        <x:f>IF(C10="","",IF(H10="Planlagt","Planlagt – ingen point endnu",IF(H10="Ikke spillet","Ikke spillet – tæller ikke som kamp og giver ingen point",IF(AN10=1,"STÆVNE SLUT – samlet point tilskrives","Frosset pointgrundlag – ingen tilskrivning endnu"))))</x:f>
        <x:v>Frosset pointgrundlag – ingen tilskrivning endnu</x:v>
      </x:c>
      <x:c r="AA10" s="60" t="n">
        <x:f>IF(C10="","",'Model &amp; indstillinger'!$B$6+SUMIFS($U$10:U10,$G$10:G10,"Single"))</x:f>
        <x:v>1712</x:v>
      </x:c>
      <x:c r="AB10" s="60" t="n">
        <x:f>IF(C10="","",'Model &amp; indstillinger'!$B$7+COUNTIFS($G$10:G10,"Single",$AK$10:AK10,1))</x:f>
        <x:v>46</x:v>
      </x:c>
      <x:c r="AC10" s="60" t="n">
        <x:f>IF(C10="","",'Model &amp; indstillinger'!$B$8+SUMIFS($U$10:U10,$G$10:G10,"Double"))</x:f>
        <x:v>1642</x:v>
      </x:c>
      <x:c r="AD10" s="60" t="n">
        <x:f>IF(C10="","",'Model &amp; indstillinger'!$B$9+COUNTIFS($G$10:G10,"Double",$AK$10:AK10,1))</x:f>
        <x:v>42</x:v>
      </x:c>
      <x:c r="AE10" s="60" t="n">
        <x:f>IF(C10="","",'Model &amp; indstillinger'!$B$10+SUMIFS($U$10:U10,$G$10:G10,"Mix"))</x:f>
        <x:v>1386</x:v>
      </x:c>
      <x:c r="AF10" s="60" t="n">
        <x:f>IF(C10="","",'Model &amp; indstillinger'!$B$11+COUNTIFS($G$10:G10,"Mix",$AK$10:AK10,1))</x:f>
        <x:v>5</x:v>
      </x:c>
      <x:c r="AG10" s="60" t="n">
        <x:f>IF(C10="","",1)</x:f>
        <x:v>1</x:v>
      </x:c>
      <x:c r="AH10" s="60" t="n">
        <x:f>'Model &amp; indstillinger'!$B$6</x:f>
        <x:v>1712</x:v>
      </x:c>
      <x:c r="AI10" s="60" t="n">
        <x:f>'Model &amp; indstillinger'!$B$8</x:f>
        <x:v>1632</x:v>
      </x:c>
      <x:c r="AJ10" s="60" t="n">
        <x:f>'Model &amp; indstillinger'!$B$10</x:f>
        <x:v>1386</x:v>
      </x:c>
      <x:c r="AK10" s="60" t="n">
        <x:f>IF(OR(H10="Vundet",H10="Tabt"),1,0)</x:f>
        <x:v>1</x:v>
      </x:c>
      <x:c r="AL10" s="60" t="n">
        <x:f>IF(AM10&gt;=2,AM10-1,0)</x:f>
        <x:v>3</x:v>
      </x:c>
      <x:c r="AM10" s="60" t="n">
        <x:f>MAX($AG$10:$AG$209)</x:f>
        <x:v>4</x:v>
      </x:c>
      <x:c r="AN10" s="60" t="n">
        <x:f>IF(C10="","",IF(AND(C11&lt;&gt;"",C11&lt;&gt;C10),1,0))</x:f>
        <x:v>0</x:v>
      </x:c>
      <x:c r="AO10" s="60" t="n"/>
      <x:c r="AP10" s="60" t="n">
        <x:f>MAX($AG$10:$AG$209)</x:f>
        <x:v>4</x:v>
      </x:c>
      <x:c r="AQ10" t="n">
        <x:f>AG10</x:f>
        <x:v>1</x:v>
      </x:c>
      <x:c r="AR10" t="str">
        <x:f>C10</x:f>
        <x:v>Køge</x:v>
      </x:c>
      <x:c r="AS10" t="str">
        <x:f>E10</x:f>
        <x:v>Sjælland</x:v>
      </x:c>
    </x:row>
    <x:row r="11">
      <x:c r="A11" s="60" t="n">
        <x:f>IF(C11="","",COUNTIF($C$10:C11,"&lt;&gt;"))</x:f>
        <x:v>2</x:v>
      </x:c>
      <x:c r="B11" s="122" t="n">
        <x:v>46271</x:v>
      </x:c>
      <x:c r="C11" s="87" t="inlineStr">
        <x:is>
          <x:t xml:space="preserve">Køge</x:t>
        </x:is>
      </x:c>
      <x:c r="D11" s="87" t="inlineStr">
        <x:is>
          <x:t xml:space="preserve">Pulje</x:t>
        </x:is>
      </x:c>
      <x:c r="E11" s="87" t="inlineStr">
        <x:is>
          <x:t xml:space="preserve">Sjælland</x:t>
        </x:is>
      </x:c>
      <x:c r="F11" s="87" t="inlineStr">
        <x:is>
          <x:t xml:space="preserve">Individuel turnering</x:t>
        </x:is>
      </x:c>
      <x:c r="G11" s="87" t="inlineStr">
        <x:is>
          <x:t xml:space="preserve">Double</x:t>
        </x:is>
      </x:c>
      <x:c r="H11" s="87" t="inlineStr">
        <x:is>
          <x:t xml:space="preserve">Tabt</x:t>
        </x:is>
      </x:c>
      <x:c r="I11" s="87" t="inlineStr">
        <x:is>
          <x:t xml:space="preserve">Malthe Wetke-Halgren</x:t>
        </x:is>
      </x:c>
      <x:c r="J11" s="87" t="n">
        <x:v>1671</x:v>
      </x:c>
      <x:c r="K11" s="87" t="inlineStr">
        <x:is>
          <x:t xml:space="preserve">Buster Nygaard Bilenberg</x:t>
        </x:is>
      </x:c>
      <x:c r="L11" s="87" t="n">
        <x:v>1918</x:v>
      </x:c>
      <x:c r="M11" s="87" t="inlineStr">
        <x:is>
          <x:t xml:space="preserve">Sakarias Thornild Berthelsen</x:t>
        </x:is>
      </x:c>
      <x:c r="N11" s="87" t="n">
        <x:v>1698</x:v>
      </x:c>
      <x:c r="O11" s="62" t="n">
        <x:f>IF(G11="","",IF(G11="Single",AH11,IF(G11="Double",AI11,AJ11)))</x:f>
        <x:v>1632</x:v>
      </x:c>
      <x:c r="P11" s="62" t="n">
        <x:f>IF(OR(G11="",H11="Ikke spillet"),"",IF(G11="Single",O11,IF(J11="","",(O11+J11)/2)))</x:f>
        <x:v>1651.5</x:v>
      </x:c>
      <x:c r="Q11" s="62" t="n">
        <x:f>IF(OR(G11="",H11="Ikke spillet"),"",IF(G11="Single",L11,IF(OR(L11="",N11=""),"",(L11+N11)/2)))</x:f>
        <x:v>1808</x:v>
      </x:c>
      <x:c r="R11" s="62" t="n">
        <x:f>IF(OR(P11="",Q11=""),"",Q11-P11)</x:f>
        <x:v>156.5</x:v>
      </x:c>
      <x:c r="S11" s="62" t="str">
        <x:f>IF(H11="Ikke spillet","",IF(R11="","",IF(ABS(R11)&lt;0.000001,"Lige (0)",VLOOKUP(ABS(R11),'BD Pointtabel'!$A$4:$G$15,2,TRUE))))</x:f>
        <x:v>150-199</x:v>
      </x:c>
      <x:c r="T11" s="62" t="str">
        <x:f>IF(H11="Ikke spillet","Ikke spillet",IF(H11="Planlagt","Planlagt",IF(OR(H11="",P11="",Q11=""),"",IF(H11="Vundet",IF(R11&gt;0,"Uventet sejr","Ventet sejr"),IF(R11&gt;=0,"Ventet nederlag","Uventet nederlag")))))</x:f>
        <x:v>Ventet nederlag</x:v>
      </x:c>
      <x:c r="U11" s="62" t="n">
        <x:f>IF(OR(H11="Ikke spillet",H11="Planlagt"),"",IF(OR(G11="",H11="",P11="",Q11=""),"",IF(AND(F11="Ungdomsholdturnering",OR(G11="Double",G11="Mix"),H11="Tabt"),0,IF(H11="Vundet",IF(R11&gt;0,VLOOKUP(ABS(R11),'BD Pointtabel'!$A$4:$G$15,4,TRUE),VLOOKUP(ABS(R11),'BD Pointtabel'!$A$4:$G$15,7,TRUE)),IF(R11&gt;=0,VLOOKUP(ABS(R11),'BD Pointtabel'!$A$4:$G$15,6,TRUE),VLOOKUP(ABS(R11),'BD Pointtabel'!$A$4:$G$15,3,TRUE))))))</x:f>
        <x:v>-4</x:v>
      </x:c>
      <x:c r="V11" s="62" t="n">
        <x:f>IF(G11="","",SUMIFS($U$10:U11,$AG$10:AG11,AG11,$G$10:G11,G11))</x:f>
        <x:v>6</x:v>
      </x:c>
      <x:c r="W11" s="62" t="n">
        <x:f>IF(C11="","",IF(AN11&lt;&gt;1,"",IF(G11="Single",AA11,IF(G11="Double",AC11,AE11))))</x:f>
        <x:v>1638</x:v>
      </x:c>
      <x:c r="X11" s="62" t="n">
        <x:f>IF(C11="","",IF(AN11&lt;&gt;1,"",ROUND(((AA11*AB11+AC11*AD11+AE11*AF11)/(AB11+AD11+AF11))+IF((MAX(AA11,AC11,AE11)-(AA11+AC11+AE11-MAX(AA11,AC11,AE11)-MIN(AA11,AC11,AE11)))&lt;'Model &amp; indstillinger'!$E$16,'Model &amp; indstillinger'!$E$18,'Model &amp; indstillinger'!$E$20)*(MAX(AA11,AC11,AE11)-((AA11*AB11+AC11*AD11+AE11*AF11)/(AB11+AD11+AF11))),0)))</x:f>
        <x:v>1677</x:v>
      </x:c>
      <x:c r="Y11" s="62" t="n">
        <x:f>IF(X11="","",'Model &amp; indstillinger'!$B$4-X11)</x:f>
        <x:v>173</x:v>
      </x:c>
      <x:c r="Z11" s="62" t="str">
        <x:f>IF(C11="","",IF(H11="Planlagt","Planlagt – ingen point endnu",IF(H11="Ikke spillet","Ikke spillet – tæller ikke som kamp og giver ingen point",IF(AN11=1,"STÆVNE SLUT – samlet point tilskrives","Frosset pointgrundlag – ingen tilskrivning endnu"))))</x:f>
        <x:v>STÆVNE SLUT – samlet point tilskrives</x:v>
      </x:c>
      <x:c r="AA11" s="60" t="n">
        <x:f>IF(C11="","",'Model &amp; indstillinger'!$B$6+SUMIFS($U$10:U11,$G$10:G11,"Single"))</x:f>
        <x:v>1712</x:v>
      </x:c>
      <x:c r="AB11" s="60" t="n">
        <x:f>IF(C11="","",'Model &amp; indstillinger'!$B$7+COUNTIFS($G$10:G11,"Single",$AK$10:AK11,1))</x:f>
        <x:v>46</x:v>
      </x:c>
      <x:c r="AC11" s="60" t="n">
        <x:f>IF(C11="","",'Model &amp; indstillinger'!$B$8+SUMIFS($U$10:U11,$G$10:G11,"Double"))</x:f>
        <x:v>1638</x:v>
      </x:c>
      <x:c r="AD11" s="60" t="n">
        <x:f>IF(C11="","",'Model &amp; indstillinger'!$B$9+COUNTIFS($G$10:G11,"Double",$AK$10:AK11,1))</x:f>
        <x:v>43</x:v>
      </x:c>
      <x:c r="AE11" s="60" t="n">
        <x:f>IF(C11="","",'Model &amp; indstillinger'!$B$10+SUMIFS($U$10:U11,$G$10:G11,"Mix"))</x:f>
        <x:v>1386</x:v>
      </x:c>
      <x:c r="AF11" s="60" t="n">
        <x:f>IF(C11="","",'Model &amp; indstillinger'!$B$11+COUNTIFS($G$10:G11,"Mix",$AK$10:AK11,1))</x:f>
        <x:v>5</x:v>
      </x:c>
      <x:c r="AG11" s="60" t="n">
        <x:f>IF(C11="","",IF(C11=C10,AG10,AG10+1))</x:f>
        <x:v>1</x:v>
      </x:c>
      <x:c r="AH11" s="60" t="n">
        <x:f>IF(C11="","",IF(AG11=AG10,AH10,AA10))</x:f>
        <x:v>1712</x:v>
      </x:c>
      <x:c r="AI11" s="60" t="n">
        <x:f>IF(C11="","",IF(AG11=AG10,AI10,AC10))</x:f>
        <x:v>1632</x:v>
      </x:c>
      <x:c r="AJ11" s="60" t="n">
        <x:f>IF(C11="","",IF(AG11=AG10,AJ10,AE10))</x:f>
        <x:v>1386</x:v>
      </x:c>
      <x:c r="AK11" s="60" t="n">
        <x:f>IF(OR(H11="Vundet",H11="Tabt"),1,0)</x:f>
        <x:v>1</x:v>
      </x:c>
      <x:c r="AL11" s="60" t="n"/>
      <x:c r="AM11" s="60" t="n">
        <x:f>MAX($AG$10:$AG$209)</x:f>
        <x:v>4</x:v>
      </x:c>
      <x:c r="AN11" s="60" t="n">
        <x:f>IF(C11="","",IF(AND(C12&lt;&gt;"",C12&lt;&gt;C11),1,0))</x:f>
        <x:v>1</x:v>
      </x:c>
      <x:c r="AO11" s="60" t="n"/>
      <x:c r="AP11" s="60" t="n">
        <x:f>MAX($AG$10:$AG$209)</x:f>
        <x:v>4</x:v>
      </x:c>
      <x:c r="AQ11" t="n">
        <x:f>AG11</x:f>
        <x:v>1</x:v>
      </x:c>
      <x:c r="AR11" t="str">
        <x:f>C11</x:f>
        <x:v>Køge</x:v>
      </x:c>
      <x:c r="AS11" t="str">
        <x:f>E11</x:f>
        <x:v>Sjælland</x:v>
      </x:c>
    </x:row>
    <x:row r="12">
      <x:c r="A12" s="60" t="n">
        <x:f>IF(C12="","",COUNTIF($C$10:C12,"&lt;&gt;"))</x:f>
        <x:v>3</x:v>
      </x:c>
      <x:c r="B12" s="122" t="n">
        <x:v>46277</x:v>
      </x:c>
      <x:c r="C12" s="87" t="inlineStr">
        <x:is>
          <x:t xml:space="preserve">Victor LBS</x:t>
        </x:is>
      </x:c>
      <x:c r="D12" s="87" t="inlineStr">
        <x:is>
          <x:t xml:space="preserve">Pulje</x:t>
        </x:is>
      </x:c>
      <x:c r="E12" s="87" t="inlineStr">
        <x:is>
          <x:t xml:space="preserve">Jylland</x:t>
        </x:is>
      </x:c>
      <x:c r="F12" s="87" t="inlineStr">
        <x:is>
          <x:t xml:space="preserve">Individuel turnering</x:t>
        </x:is>
      </x:c>
      <x:c r="G12" s="87" t="inlineStr">
        <x:is>
          <x:t xml:space="preserve">Single</x:t>
        </x:is>
      </x:c>
      <x:c r="H12" s="87" t="inlineStr">
        <x:is>
          <x:t xml:space="preserve">Vundet</x:t>
        </x:is>
      </x:c>
      <x:c r="I12" s="87" t="n"/>
      <x:c r="J12" s="87" t="n"/>
      <x:c r="K12" s="87" t="inlineStr">
        <x:is>
          <x:t xml:space="preserve">Mikkel Sørensen</x:t>
        </x:is>
      </x:c>
      <x:c r="L12" s="87" t="n">
        <x:v>1873</x:v>
      </x:c>
      <x:c r="M12" s="87" t="n"/>
      <x:c r="N12" s="87" t="n"/>
      <x:c r="O12" s="62" t="n">
        <x:f>IF(G12="","",IF(G12="Single",AH12,IF(G12="Double",AI12,AJ12)))</x:f>
        <x:v>1712</x:v>
      </x:c>
      <x:c r="P12" s="62" t="n">
        <x:f>IF(OR(G12="",H12="Ikke spillet"),"",IF(G12="Single",O12,IF(J12="","",(O12+J12)/2)))</x:f>
        <x:v>1712</x:v>
      </x:c>
      <x:c r="Q12" s="62" t="n">
        <x:f>IF(OR(G12="",H12="Ikke spillet"),"",IF(G12="Single",L12,IF(OR(L12="",N12=""),"",(L12+N12)/2)))</x:f>
        <x:v>1873</x:v>
      </x:c>
      <x:c r="R12" s="62" t="n">
        <x:f>IF(OR(P12="",Q12=""),"",Q12-P12)</x:f>
        <x:v>161</x:v>
      </x:c>
      <x:c r="S12" s="62" t="str">
        <x:f>IF(H12="Ikke spillet","",IF(R12="","",IF(ABS(R12)&lt;0.000001,"Lige (0)",VLOOKUP(ABS(R12),'BD Pointtabel'!$A$4:$G$15,2,TRUE))))</x:f>
        <x:v>150-199</x:v>
      </x:c>
      <x:c r="T12" s="62" t="str">
        <x:f>IF(H12="Ikke spillet","Ikke spillet",IF(H12="Planlagt","Planlagt",IF(OR(H12="",P12="",Q12=""),"",IF(H12="Vundet",IF(R12&gt;0,"Uventet sejr","Ventet sejr"),IF(R12&gt;=0,"Ventet nederlag","Uventet nederlag")))))</x:f>
        <x:v>Uventet sejr</x:v>
      </x:c>
      <x:c r="U12" s="62" t="n">
        <x:f>IF(OR(H12="Ikke spillet",H12="Planlagt"),"",IF(OR(G12="",H12="",P12="",Q12=""),"",IF(AND(F12="Ungdomsholdturnering",OR(G12="Double",G12="Mix"),H12="Tabt"),0,IF(H12="Vundet",IF(R12&gt;0,VLOOKUP(ABS(R12),'BD Pointtabel'!$A$4:$G$15,4,TRUE),VLOOKUP(ABS(R12),'BD Pointtabel'!$A$4:$G$15,7,TRUE)),IF(R12&gt;=0,VLOOKUP(ABS(R12),'BD Pointtabel'!$A$4:$G$15,6,TRUE),VLOOKUP(ABS(R12),'BD Pointtabel'!$A$4:$G$15,3,TRUE))))))</x:f>
        <x:v>24</x:v>
      </x:c>
      <x:c r="V12" s="62" t="n">
        <x:f>IF(G12="","",SUMIFS($U$10:U12,$AG$10:AG12,AG12,$G$10:G12,G12))</x:f>
        <x:v>24</x:v>
      </x:c>
      <x:c r="W12" s="62" t="str">
        <x:f>IF(C12="","",IF(AN12&lt;&gt;1,"",IF(G12="Single",AA12,IF(G12="Double",AC12,AE12))))</x:f>
      </x:c>
      <x:c r="X12" s="62" t="str">
        <x:f>IF(C12="","",IF(AN12&lt;&gt;1,"",ROUND(((AA12*AB12+AC12*AD12+AE12*AF12)/(AB12+AD12+AF12))+IF((MAX(AA12,AC12,AE12)-(AA12+AC12+AE12-MAX(AA12,AC12,AE12)-MIN(AA12,AC12,AE12)))&lt;'Model &amp; indstillinger'!$E$16,'Model &amp; indstillinger'!$E$18,'Model &amp; indstillinger'!$E$20)*(MAX(AA12,AC12,AE12)-((AA12*AB12+AC12*AD12+AE12*AF12)/(AB12+AD12+AF12))),0)))</x:f>
      </x:c>
      <x:c r="Y12" s="62" t="str">
        <x:f>IF(X12="","",'Model &amp; indstillinger'!$B$4-X12)</x:f>
      </x:c>
      <x:c r="Z12" s="62" t="str">
        <x:f>IF(C12="","",IF(H12="Planlagt","Planlagt – ingen point endnu",IF(H12="Ikke spillet","Ikke spillet – tæller ikke som kamp og giver ingen point",IF(AN12=1,"STÆVNE SLUT – samlet point tilskrives","Frosset pointgrundlag – ingen tilskrivning endnu"))))</x:f>
        <x:v>Frosset pointgrundlag – ingen tilskrivning endnu</x:v>
      </x:c>
      <x:c r="AA12" s="60" t="n">
        <x:f>IF(C12="","",'Model &amp; indstillinger'!$B$6+SUMIFS($U$10:U12,$G$10:G12,"Single"))</x:f>
        <x:v>1736</x:v>
      </x:c>
      <x:c r="AB12" s="60" t="n">
        <x:f>IF(C12="","",'Model &amp; indstillinger'!$B$7+COUNTIFS($G$10:G12,"Single",$AK$10:AK12,1))</x:f>
        <x:v>47</x:v>
      </x:c>
      <x:c r="AC12" s="60" t="n">
        <x:f>IF(C12="","",'Model &amp; indstillinger'!$B$8+SUMIFS($U$10:U12,$G$10:G12,"Double"))</x:f>
        <x:v>1638</x:v>
      </x:c>
      <x:c r="AD12" s="60" t="n">
        <x:f>IF(C12="","",'Model &amp; indstillinger'!$B$9+COUNTIFS($G$10:G12,"Double",$AK$10:AK12,1))</x:f>
        <x:v>43</x:v>
      </x:c>
      <x:c r="AE12" s="60" t="n">
        <x:f>IF(C12="","",'Model &amp; indstillinger'!$B$10+SUMIFS($U$10:U12,$G$10:G12,"Mix"))</x:f>
        <x:v>1386</x:v>
      </x:c>
      <x:c r="AF12" s="60" t="n">
        <x:f>IF(C12="","",'Model &amp; indstillinger'!$B$11+COUNTIFS($G$10:G12,"Mix",$AK$10:AK12,1))</x:f>
        <x:v>5</x:v>
      </x:c>
      <x:c r="AG12" s="60" t="n">
        <x:f>IF(C12="","",IF(C12=C11,AG11,AG11+1))</x:f>
        <x:v>2</x:v>
      </x:c>
      <x:c r="AH12" s="60" t="n">
        <x:f>IF(C12="","",IF(AG12=AG11,AH11,AA11))</x:f>
        <x:v>1712</x:v>
      </x:c>
      <x:c r="AI12" s="60" t="n">
        <x:f>IF(C12="","",IF(AG12=AG11,AI11,AC11))</x:f>
        <x:v>1638</x:v>
      </x:c>
      <x:c r="AJ12" s="60" t="n">
        <x:f>IF(C12="","",IF(AG12=AG11,AJ11,AE11))</x:f>
        <x:v>1386</x:v>
      </x:c>
      <x:c r="AK12" s="60" t="n">
        <x:f>IF(OR(H12="Vundet",H12="Tabt"),1,0)</x:f>
        <x:v>1</x:v>
      </x:c>
      <x:c r="AL12" s="60" t="n"/>
      <x:c r="AM12" s="60" t="n">
        <x:f>MAX($AG$10:$AG$209)</x:f>
        <x:v>4</x:v>
      </x:c>
      <x:c r="AN12" s="60" t="n">
        <x:f>IF(C12="","",IF(AND(C13&lt;&gt;"",C13&lt;&gt;C12),1,0))</x:f>
        <x:v>0</x:v>
      </x:c>
      <x:c r="AO12" s="60" t="n"/>
      <x:c r="AP12" s="60" t="n">
        <x:f>MAX($AG$10:$AG$209)</x:f>
        <x:v>4</x:v>
      </x:c>
      <x:c r="AQ12" t="n">
        <x:f>AG12</x:f>
        <x:v>2</x:v>
      </x:c>
      <x:c r="AR12" t="str">
        <x:f>C12</x:f>
        <x:v>Victor LBS</x:v>
      </x:c>
      <x:c r="AS12" t="str">
        <x:f>E12</x:f>
        <x:v>Jylland</x:v>
      </x:c>
    </x:row>
    <x:row r="13">
      <x:c r="A13" s="60" t="n">
        <x:f>IF(C13="","",COUNTIF($C$10:C13,"&lt;&gt;"))</x:f>
        <x:v>4</x:v>
      </x:c>
      <x:c r="B13" s="122" t="n">
        <x:v>46277</x:v>
      </x:c>
      <x:c r="C13" s="87" t="inlineStr">
        <x:is>
          <x:t xml:space="preserve">Victor LBS</x:t>
        </x:is>
      </x:c>
      <x:c r="D13" s="87" t="inlineStr">
        <x:is>
          <x:t xml:space="preserve">Pulje</x:t>
        </x:is>
      </x:c>
      <x:c r="E13" s="87" t="inlineStr">
        <x:is>
          <x:t xml:space="preserve">Jylland</x:t>
        </x:is>
      </x:c>
      <x:c r="F13" s="87" t="inlineStr">
        <x:is>
          <x:t xml:space="preserve">Individuel turnering</x:t>
        </x:is>
      </x:c>
      <x:c r="G13" s="87" t="inlineStr">
        <x:is>
          <x:t xml:space="preserve">Single</x:t>
        </x:is>
      </x:c>
      <x:c r="H13" s="87" t="inlineStr">
        <x:is>
          <x:t xml:space="preserve">Vundet</x:t>
        </x:is>
      </x:c>
      <x:c r="I13" s="87" t="n"/>
      <x:c r="J13" s="87" t="n"/>
      <x:c r="K13" s="87" t="inlineStr">
        <x:is>
          <x:t xml:space="preserve">Casper Metz Dig</x:t>
        </x:is>
      </x:c>
      <x:c r="L13" s="87" t="n">
        <x:v>1662</x:v>
      </x:c>
      <x:c r="M13" s="87" t="n"/>
      <x:c r="N13" s="87" t="n"/>
      <x:c r="O13" s="62" t="n">
        <x:f>IF(G13="","",IF(G13="Single",AH13,IF(G13="Double",AI13,AJ13)))</x:f>
        <x:v>1712</x:v>
      </x:c>
      <x:c r="P13" s="62" t="n">
        <x:f>IF(OR(G13="",H13="Ikke spillet"),"",IF(G13="Single",O13,IF(J13="","",(O13+J13)/2)))</x:f>
        <x:v>1712</x:v>
      </x:c>
      <x:c r="Q13" s="62" t="n">
        <x:f>IF(OR(G13="",H13="Ikke spillet"),"",IF(G13="Single",L13,IF(OR(L13="",N13=""),"",(L13+N13)/2)))</x:f>
        <x:v>1662</x:v>
      </x:c>
      <x:c r="R13" s="62" t="n">
        <x:f>IF(OR(P13="",Q13=""),"",Q13-P13)</x:f>
        <x:v>-50</x:v>
      </x:c>
      <x:c r="S13" s="62" t="str">
        <x:f>IF(H13="Ikke spillet","",IF(R13="","",IF(ABS(R13)&lt;0.000001,"Lige (0)",VLOOKUP(ABS(R13),'BD Pointtabel'!$A$4:$G$15,2,TRUE))))</x:f>
        <x:v>50-74</x:v>
      </x:c>
      <x:c r="T13" s="62" t="str">
        <x:f>IF(H13="Ikke spillet","Ikke spillet",IF(H13="Planlagt","Planlagt",IF(OR(H13="",P13="",Q13=""),"",IF(H13="Vundet",IF(R13&gt;0,"Uventet sejr","Ventet sejr"),IF(R13&gt;=0,"Ventet nederlag","Uventet nederlag")))))</x:f>
        <x:v>Ventet sejr</x:v>
      </x:c>
      <x:c r="U13" s="62" t="n">
        <x:f>IF(OR(H13="Ikke spillet",H13="Planlagt"),"",IF(OR(G13="",H13="",P13="",Q13=""),"",IF(AND(F13="Ungdomsholdturnering",OR(G13="Double",G13="Mix"),H13="Tabt"),0,IF(H13="Vundet",IF(R13&gt;0,VLOOKUP(ABS(R13),'BD Pointtabel'!$A$4:$G$15,4,TRUE),VLOOKUP(ABS(R13),'BD Pointtabel'!$A$4:$G$15,7,TRUE)),IF(R13&gt;=0,VLOOKUP(ABS(R13),'BD Pointtabel'!$A$4:$G$15,6,TRUE),VLOOKUP(ABS(R13),'BD Pointtabel'!$A$4:$G$15,3,TRUE))))))</x:f>
        <x:v>12</x:v>
      </x:c>
      <x:c r="V13" s="62" t="n">
        <x:f>IF(G13="","",SUMIFS($U$10:U13,$AG$10:AG13,AG13,$G$10:G13,G13))</x:f>
        <x:v>36</x:v>
      </x:c>
      <x:c r="W13" s="62" t="str">
        <x:f>IF(C13="","",IF(AN13&lt;&gt;1,"",IF(G13="Single",AA13,IF(G13="Double",AC13,AE13))))</x:f>
      </x:c>
      <x:c r="X13" s="62" t="str">
        <x:f>IF(C13="","",IF(AN13&lt;&gt;1,"",ROUND(((AA13*AB13+AC13*AD13+AE13*AF13)/(AB13+AD13+AF13))+IF((MAX(AA13,AC13,AE13)-(AA13+AC13+AE13-MAX(AA13,AC13,AE13)-MIN(AA13,AC13,AE13)))&lt;'Model &amp; indstillinger'!$E$16,'Model &amp; indstillinger'!$E$18,'Model &amp; indstillinger'!$E$20)*(MAX(AA13,AC13,AE13)-((AA13*AB13+AC13*AD13+AE13*AF13)/(AB13+AD13+AF13))),0)))</x:f>
      </x:c>
      <x:c r="Y13" s="62" t="str">
        <x:f>IF(X13="","",'Model &amp; indstillinger'!$B$4-X13)</x:f>
      </x:c>
      <x:c r="Z13" s="62" t="str">
        <x:f>IF(C13="","",IF(H13="Planlagt","Planlagt – ingen point endnu",IF(H13="Ikke spillet","Ikke spillet – tæller ikke som kamp og giver ingen point",IF(AN13=1,"STÆVNE SLUT – samlet point tilskrives","Frosset pointgrundlag – ingen tilskrivning endnu"))))</x:f>
        <x:v>Frosset pointgrundlag – ingen tilskrivning endnu</x:v>
      </x:c>
      <x:c r="AA13" s="60" t="n">
        <x:f>IF(C13="","",'Model &amp; indstillinger'!$B$6+SUMIFS($U$10:U13,$G$10:G13,"Single"))</x:f>
        <x:v>1748</x:v>
      </x:c>
      <x:c r="AB13" s="60" t="n">
        <x:f>IF(C13="","",'Model &amp; indstillinger'!$B$7+COUNTIFS($G$10:G13,"Single",$AK$10:AK13,1))</x:f>
        <x:v>48</x:v>
      </x:c>
      <x:c r="AC13" s="60" t="n">
        <x:f>IF(C13="","",'Model &amp; indstillinger'!$B$8+SUMIFS($U$10:U13,$G$10:G13,"Double"))</x:f>
        <x:v>1638</x:v>
      </x:c>
      <x:c r="AD13" s="60" t="n">
        <x:f>IF(C13="","",'Model &amp; indstillinger'!$B$9+COUNTIFS($G$10:G13,"Double",$AK$10:AK13,1))</x:f>
        <x:v>43</x:v>
      </x:c>
      <x:c r="AE13" s="60" t="n">
        <x:f>IF(C13="","",'Model &amp; indstillinger'!$B$10+SUMIFS($U$10:U13,$G$10:G13,"Mix"))</x:f>
        <x:v>1386</x:v>
      </x:c>
      <x:c r="AF13" s="60" t="n">
        <x:f>IF(C13="","",'Model &amp; indstillinger'!$B$11+COUNTIFS($G$10:G13,"Mix",$AK$10:AK13,1))</x:f>
        <x:v>5</x:v>
      </x:c>
      <x:c r="AG13" s="60" t="n">
        <x:f>IF(C13="","",IF(C13=C12,AG12,AG12+1))</x:f>
        <x:v>2</x:v>
      </x:c>
      <x:c r="AH13" s="60" t="n">
        <x:f>IF(C13="","",IF(AG13=AG12,AH12,AA12))</x:f>
        <x:v>1712</x:v>
      </x:c>
      <x:c r="AI13" s="60" t="n">
        <x:f>IF(C13="","",IF(AG13=AG12,AI12,AC12))</x:f>
        <x:v>1638</x:v>
      </x:c>
      <x:c r="AJ13" s="60" t="n">
        <x:f>IF(C13="","",IF(AG13=AG12,AJ12,AE12))</x:f>
        <x:v>1386</x:v>
      </x:c>
      <x:c r="AK13" s="60" t="n">
        <x:f>IF(OR(H13="Vundet",H13="Tabt"),1,0)</x:f>
        <x:v>1</x:v>
      </x:c>
      <x:c r="AL13" s="60" t="n"/>
      <x:c r="AM13" s="60" t="n">
        <x:f>MAX($AG$10:$AG$209)</x:f>
        <x:v>4</x:v>
      </x:c>
      <x:c r="AN13" s="60" t="n">
        <x:f>IF(C13="","",IF(AND(C14&lt;&gt;"",C14&lt;&gt;C13),1,0))</x:f>
        <x:v>0</x:v>
      </x:c>
      <x:c r="AO13" s="60" t="n"/>
      <x:c r="AP13" s="60" t="n">
        <x:f>MAX($AG$10:$AG$209)</x:f>
        <x:v>4</x:v>
      </x:c>
      <x:c r="AQ13" t="n">
        <x:f>AG13</x:f>
        <x:v>2</x:v>
      </x:c>
      <x:c r="AR13" t="str">
        <x:f>C13</x:f>
        <x:v>Victor LBS</x:v>
      </x:c>
      <x:c r="AS13" t="str">
        <x:f>E13</x:f>
        <x:v>Jylland</x:v>
      </x:c>
    </x:row>
    <x:row r="14">
      <x:c r="A14" s="60" t="n">
        <x:f>IF(C14="","",COUNTIF($C$10:C14,"&lt;&gt;"))</x:f>
        <x:v>5</x:v>
      </x:c>
      <x:c r="B14" s="122" t="n">
        <x:v>46277</x:v>
      </x:c>
      <x:c r="C14" s="87" t="inlineStr">
        <x:is>
          <x:t xml:space="preserve">Victor LBS</x:t>
        </x:is>
      </x:c>
      <x:c r="D14" s="87" t="inlineStr">
        <x:is>
          <x:t xml:space="preserve">Pulje</x:t>
        </x:is>
      </x:c>
      <x:c r="E14" s="87" t="inlineStr">
        <x:is>
          <x:t xml:space="preserve">Jylland</x:t>
        </x:is>
      </x:c>
      <x:c r="F14" s="87" t="inlineStr">
        <x:is>
          <x:t xml:space="preserve">Individuel turnering</x:t>
        </x:is>
      </x:c>
      <x:c r="G14" s="87" t="inlineStr">
        <x:is>
          <x:t xml:space="preserve">Single</x:t>
        </x:is>
      </x:c>
      <x:c r="H14" s="87" t="inlineStr">
        <x:is>
          <x:t xml:space="preserve">Tabt</x:t>
        </x:is>
      </x:c>
      <x:c r="I14" s="87" t="n"/>
      <x:c r="J14" s="87" t="n"/>
      <x:c r="K14" s="87" t="inlineStr">
        <x:is>
          <x:t xml:space="preserve">Peter Viby Hathaway</x:t>
        </x:is>
      </x:c>
      <x:c r="L14" s="87" t="n">
        <x:v>1781</x:v>
      </x:c>
      <x:c r="M14" s="87" t="n"/>
      <x:c r="N14" s="87" t="n"/>
      <x:c r="O14" s="62" t="n">
        <x:f>IF(G14="","",IF(G14="Single",AH14,IF(G14="Double",AI14,AJ14)))</x:f>
        <x:v>1712</x:v>
      </x:c>
      <x:c r="P14" s="62" t="n">
        <x:f>IF(OR(G14="",H14="Ikke spillet"),"",IF(G14="Single",O14,IF(J14="","",(O14+J14)/2)))</x:f>
        <x:v>1712</x:v>
      </x:c>
      <x:c r="Q14" s="62" t="n">
        <x:f>IF(OR(G14="",H14="Ikke spillet"),"",IF(G14="Single",L14,IF(OR(L14="",N14=""),"",(L14+N14)/2)))</x:f>
        <x:v>1781</x:v>
      </x:c>
      <x:c r="R14" s="62" t="n">
        <x:f>IF(OR(P14="",Q14=""),"",Q14-P14)</x:f>
        <x:v>69</x:v>
      </x:c>
      <x:c r="S14" s="62" t="str">
        <x:f>IF(H14="Ikke spillet","",IF(R14="","",IF(ABS(R14)&lt;0.000001,"Lige (0)",VLOOKUP(ABS(R14),'BD Pointtabel'!$A$4:$G$15,2,TRUE))))</x:f>
        <x:v>50-74</x:v>
      </x:c>
      <x:c r="T14" s="62" t="str">
        <x:f>IF(H14="Ikke spillet","Ikke spillet",IF(H14="Planlagt","Planlagt",IF(OR(H14="",P14="",Q14=""),"",IF(H14="Vundet",IF(R14&gt;0,"Uventet sejr","Ventet sejr"),IF(R14&gt;=0,"Ventet nederlag","Uventet nederlag")))))</x:f>
        <x:v>Ventet nederlag</x:v>
      </x:c>
      <x:c r="U14" s="62" t="n">
        <x:f>IF(OR(H14="Ikke spillet",H14="Planlagt"),"",IF(OR(G14="",H14="",P14="",Q14=""),"",IF(AND(F14="Ungdomsholdturnering",OR(G14="Double",G14="Mix"),H14="Tabt"),0,IF(H14="Vundet",IF(R14&gt;0,VLOOKUP(ABS(R14),'BD Pointtabel'!$A$4:$G$15,4,TRUE),VLOOKUP(ABS(R14),'BD Pointtabel'!$A$4:$G$15,7,TRUE)),IF(R14&gt;=0,VLOOKUP(ABS(R14),'BD Pointtabel'!$A$4:$G$15,6,TRUE),VLOOKUP(ABS(R14),'BD Pointtabel'!$A$4:$G$15,3,TRUE))))))</x:f>
        <x:v>-5</x:v>
      </x:c>
      <x:c r="V14" s="62" t="n">
        <x:f>IF(G14="","",SUMIFS($U$10:U14,$AG$10:AG14,AG14,$G$10:G14,G14))</x:f>
        <x:v>31</x:v>
      </x:c>
      <x:c r="W14" s="62" t="str">
        <x:f>IF(C14="","",IF(AN14&lt;&gt;1,"",IF(G14="Single",AA14,IF(G14="Double",AC14,AE14))))</x:f>
      </x:c>
      <x:c r="X14" s="62" t="str">
        <x:f>IF(C14="","",IF(AN14&lt;&gt;1,"",ROUND(((AA14*AB14+AC14*AD14+AE14*AF14)/(AB14+AD14+AF14))+IF((MAX(AA14,AC14,AE14)-(AA14+AC14+AE14-MAX(AA14,AC14,AE14)-MIN(AA14,AC14,AE14)))&lt;'Model &amp; indstillinger'!$E$16,'Model &amp; indstillinger'!$E$18,'Model &amp; indstillinger'!$E$20)*(MAX(AA14,AC14,AE14)-((AA14*AB14+AC14*AD14+AE14*AF14)/(AB14+AD14+AF14))),0)))</x:f>
      </x:c>
      <x:c r="Y14" s="62" t="str">
        <x:f>IF(X14="","",'Model &amp; indstillinger'!$B$4-X14)</x:f>
      </x:c>
      <x:c r="Z14" s="62" t="str">
        <x:f>IF(C14="","",IF(H14="Planlagt","Planlagt – ingen point endnu",IF(H14="Ikke spillet","Ikke spillet – tæller ikke som kamp og giver ingen point",IF(AN14=1,"STÆVNE SLUT – samlet point tilskrives","Frosset pointgrundlag – ingen tilskrivning endnu"))))</x:f>
        <x:v>Frosset pointgrundlag – ingen tilskrivning endnu</x:v>
      </x:c>
      <x:c r="AA14" s="60" t="n">
        <x:f>IF(C14="","",'Model &amp; indstillinger'!$B$6+SUMIFS($U$10:U14,$G$10:G14,"Single"))</x:f>
        <x:v>1743</x:v>
      </x:c>
      <x:c r="AB14" s="60" t="n">
        <x:f>IF(C14="","",'Model &amp; indstillinger'!$B$7+COUNTIFS($G$10:G14,"Single",$AK$10:AK14,1))</x:f>
        <x:v>49</x:v>
      </x:c>
      <x:c r="AC14" s="60" t="n">
        <x:f>IF(C14="","",'Model &amp; indstillinger'!$B$8+SUMIFS($U$10:U14,$G$10:G14,"Double"))</x:f>
        <x:v>1638</x:v>
      </x:c>
      <x:c r="AD14" s="60" t="n">
        <x:f>IF(C14="","",'Model &amp; indstillinger'!$B$9+COUNTIFS($G$10:G14,"Double",$AK$10:AK14,1))</x:f>
        <x:v>43</x:v>
      </x:c>
      <x:c r="AE14" s="60" t="n">
        <x:f>IF(C14="","",'Model &amp; indstillinger'!$B$10+SUMIFS($U$10:U14,$G$10:G14,"Mix"))</x:f>
        <x:v>1386</x:v>
      </x:c>
      <x:c r="AF14" s="60" t="n">
        <x:f>IF(C14="","",'Model &amp; indstillinger'!$B$11+COUNTIFS($G$10:G14,"Mix",$AK$10:AK14,1))</x:f>
        <x:v>5</x:v>
      </x:c>
      <x:c r="AG14" s="60" t="n">
        <x:f>IF(C14="","",IF(C14=C13,AG13,AG13+1))</x:f>
        <x:v>2</x:v>
      </x:c>
      <x:c r="AH14" s="60" t="n">
        <x:f>IF(C14="","",IF(AG14=AG13,AH13,AA13))</x:f>
        <x:v>1712</x:v>
      </x:c>
      <x:c r="AI14" s="60" t="n">
        <x:f>IF(C14="","",IF(AG14=AG13,AI13,AC13))</x:f>
        <x:v>1638</x:v>
      </x:c>
      <x:c r="AJ14" s="60" t="n">
        <x:f>IF(C14="","",IF(AG14=AG13,AJ13,AE13))</x:f>
        <x:v>1386</x:v>
      </x:c>
      <x:c r="AK14" s="60" t="n">
        <x:f>IF(OR(H14="Vundet",H14="Tabt"),1,0)</x:f>
        <x:v>1</x:v>
      </x:c>
      <x:c r="AL14" s="60" t="n"/>
      <x:c r="AM14" s="60" t="n">
        <x:f>MAX($AG$10:$AG$209)</x:f>
        <x:v>4</x:v>
      </x:c>
      <x:c r="AN14" s="60" t="n">
        <x:f>IF(C14="","",IF(AND(C15&lt;&gt;"",C15&lt;&gt;C14),1,0))</x:f>
        <x:v>0</x:v>
      </x:c>
      <x:c r="AO14" s="60" t="n"/>
      <x:c r="AP14" s="60" t="n">
        <x:f>MAX($AG$10:$AG$209)</x:f>
        <x:v>4</x:v>
      </x:c>
      <x:c r="AQ14" t="n">
        <x:f>AG14</x:f>
        <x:v>2</x:v>
      </x:c>
      <x:c r="AR14" t="str">
        <x:f>C14</x:f>
        <x:v>Victor LBS</x:v>
      </x:c>
      <x:c r="AS14" t="str">
        <x:f>E14</x:f>
        <x:v>Jylland</x:v>
      </x:c>
    </x:row>
    <x:row r="15">
      <x:c r="A15" s="60" t="n">
        <x:f>IF(C15="","",COUNTIF($C$10:C15,"&lt;&gt;"))</x:f>
        <x:v>6</x:v>
      </x:c>
      <x:c r="B15" s="122" t="n">
        <x:v>46277</x:v>
      </x:c>
      <x:c r="C15" s="87" t="inlineStr">
        <x:is>
          <x:t xml:space="preserve">Victor LBS</x:t>
        </x:is>
      </x:c>
      <x:c r="D15" s="87" t="inlineStr">
        <x:is>
          <x:t xml:space="preserve">Pulje</x:t>
        </x:is>
      </x:c>
      <x:c r="E15" s="87" t="inlineStr">
        <x:is>
          <x:t xml:space="preserve">Jylland</x:t>
        </x:is>
      </x:c>
      <x:c r="F15" s="87" t="inlineStr">
        <x:is>
          <x:t xml:space="preserve">Individuel turnering</x:t>
        </x:is>
      </x:c>
      <x:c r="G15" s="87" t="inlineStr">
        <x:is>
          <x:t xml:space="preserve">Double</x:t>
        </x:is>
      </x:c>
      <x:c r="H15" s="87" t="inlineStr">
        <x:is>
          <x:t xml:space="preserve">Vundet</x:t>
        </x:is>
      </x:c>
      <x:c r="I15" s="87" t="inlineStr">
        <x:is>
          <x:t xml:space="preserve">Mads Emil Ginnerup</x:t>
        </x:is>
      </x:c>
      <x:c r="J15" s="87" t="n">
        <x:v>1661</x:v>
      </x:c>
      <x:c r="K15" s="87" t="inlineStr">
        <x:is>
          <x:t xml:space="preserve">Mikkel Sørensen</x:t>
        </x:is>
      </x:c>
      <x:c r="L15" s="87" t="n">
        <x:v>1818</x:v>
      </x:c>
      <x:c r="M15" s="87" t="inlineStr">
        <x:is>
          <x:t xml:space="preserve">Malthe Tvedergaard Hansen</x:t>
        </x:is>
      </x:c>
      <x:c r="N15" s="87" t="n">
        <x:v>1455</x:v>
      </x:c>
      <x:c r="O15" s="62" t="n">
        <x:f>IF(G15="","",IF(G15="Single",AH15,IF(G15="Double",AI15,AJ15)))</x:f>
        <x:v>1638</x:v>
      </x:c>
      <x:c r="P15" s="62" t="n">
        <x:f>IF(OR(G15="",H15="Ikke spillet"),"",IF(G15="Single",O15,IF(J15="","",(O15+J15)/2)))</x:f>
        <x:v>1649.5</x:v>
      </x:c>
      <x:c r="Q15" s="62" t="n">
        <x:f>IF(OR(G15="",H15="Ikke spillet"),"",IF(G15="Single",L15,IF(OR(L15="",N15=""),"",(L15+N15)/2)))</x:f>
        <x:v>1636.5</x:v>
      </x:c>
      <x:c r="R15" s="62" t="n">
        <x:f>IF(OR(P15="",Q15=""),"",Q15-P15)</x:f>
        <x:v>-13</x:v>
      </x:c>
      <x:c r="S15" s="62" t="str">
        <x:f>IF(H15="Ikke spillet","",IF(R15="","",IF(ABS(R15)&lt;0.000001,"Lige (0)",VLOOKUP(ABS(R15),'BD Pointtabel'!$A$4:$G$15,2,TRUE))))</x:f>
        <x:v>01-24</x:v>
      </x:c>
      <x:c r="T15" s="62" t="str">
        <x:f>IF(H15="Ikke spillet","Ikke spillet",IF(H15="Planlagt","Planlagt",IF(OR(H15="",P15="",Q15=""),"",IF(H15="Vundet",IF(R15&gt;0,"Uventet sejr","Ventet sejr"),IF(R15&gt;=0,"Ventet nederlag","Uventet nederlag")))))</x:f>
        <x:v>Ventet sejr</x:v>
      </x:c>
      <x:c r="U15" s="62" t="n">
        <x:f>IF(OR(H15="Ikke spillet",H15="Planlagt"),"",IF(OR(G15="",H15="",P15="",Q15=""),"",IF(AND(F15="Ungdomsholdturnering",OR(G15="Double",G15="Mix"),H15="Tabt"),0,IF(H15="Vundet",IF(R15&gt;0,VLOOKUP(ABS(R15),'BD Pointtabel'!$A$4:$G$15,4,TRUE),VLOOKUP(ABS(R15),'BD Pointtabel'!$A$4:$G$15,7,TRUE)),IF(R15&gt;=0,VLOOKUP(ABS(R15),'BD Pointtabel'!$A$4:$G$15,6,TRUE),VLOOKUP(ABS(R15),'BD Pointtabel'!$A$4:$G$15,3,TRUE))))))</x:f>
        <x:v>14</x:v>
      </x:c>
      <x:c r="V15" s="62" t="n">
        <x:f>IF(G15="","",SUMIFS($U$10:U15,$AG$10:AG15,AG15,$G$10:G15,G15))</x:f>
        <x:v>14</x:v>
      </x:c>
      <x:c r="W15" s="62" t="str">
        <x:f>IF(C15="","",IF(AN15&lt;&gt;1,"",IF(G15="Single",AA15,IF(G15="Double",AC15,AE15))))</x:f>
      </x:c>
      <x:c r="X15" s="62" t="str">
        <x:f>IF(C15="","",IF(AN15&lt;&gt;1,"",ROUND(((AA15*AB15+AC15*AD15+AE15*AF15)/(AB15+AD15+AF15))+IF((MAX(AA15,AC15,AE15)-(AA15+AC15+AE15-MAX(AA15,AC15,AE15)-MIN(AA15,AC15,AE15)))&lt;'Model &amp; indstillinger'!$E$16,'Model &amp; indstillinger'!$E$18,'Model &amp; indstillinger'!$E$20)*(MAX(AA15,AC15,AE15)-((AA15*AB15+AC15*AD15+AE15*AF15)/(AB15+AD15+AF15))),0)))</x:f>
      </x:c>
      <x:c r="Y15" s="62" t="str">
        <x:f>IF(X15="","",'Model &amp; indstillinger'!$B$4-X15)</x:f>
      </x:c>
      <x:c r="Z15" s="62" t="str">
        <x:f>IF(C15="","",IF(H15="Planlagt","Planlagt – ingen point endnu",IF(H15="Ikke spillet","Ikke spillet – tæller ikke som kamp og giver ingen point",IF(AN15=1,"STÆVNE SLUT – samlet point tilskrives","Frosset pointgrundlag – ingen tilskrivning endnu"))))</x:f>
        <x:v>Frosset pointgrundlag – ingen tilskrivning endnu</x:v>
      </x:c>
      <x:c r="AA15" s="60" t="n">
        <x:f>IF(C15="","",'Model &amp; indstillinger'!$B$6+SUMIFS($U$10:U15,$G$10:G15,"Single"))</x:f>
        <x:v>1743</x:v>
      </x:c>
      <x:c r="AB15" s="60" t="n">
        <x:f>IF(C15="","",'Model &amp; indstillinger'!$B$7+COUNTIFS($G$10:G15,"Single",$AK$10:AK15,1))</x:f>
        <x:v>49</x:v>
      </x:c>
      <x:c r="AC15" s="60" t="n">
        <x:f>IF(C15="","",'Model &amp; indstillinger'!$B$8+SUMIFS($U$10:U15,$G$10:G15,"Double"))</x:f>
        <x:v>1652</x:v>
      </x:c>
      <x:c r="AD15" s="60" t="n">
        <x:f>IF(C15="","",'Model &amp; indstillinger'!$B$9+COUNTIFS($G$10:G15,"Double",$AK$10:AK15,1))</x:f>
        <x:v>44</x:v>
      </x:c>
      <x:c r="AE15" s="60" t="n">
        <x:f>IF(C15="","",'Model &amp; indstillinger'!$B$10+SUMIFS($U$10:U15,$G$10:G15,"Mix"))</x:f>
        <x:v>1386</x:v>
      </x:c>
      <x:c r="AF15" s="60" t="n">
        <x:f>IF(C15="","",'Model &amp; indstillinger'!$B$11+COUNTIFS($G$10:G15,"Mix",$AK$10:AK15,1))</x:f>
        <x:v>5</x:v>
      </x:c>
      <x:c r="AG15" s="60" t="n">
        <x:f>IF(C15="","",IF(C15=C14,AG14,AG14+1))</x:f>
        <x:v>2</x:v>
      </x:c>
      <x:c r="AH15" s="60" t="n">
        <x:f>IF(C15="","",IF(AG15=AG14,AH14,AA14))</x:f>
        <x:v>1712</x:v>
      </x:c>
      <x:c r="AI15" s="60" t="n">
        <x:f>IF(C15="","",IF(AG15=AG14,AI14,AC14))</x:f>
        <x:v>1638</x:v>
      </x:c>
      <x:c r="AJ15" s="60" t="n">
        <x:f>IF(C15="","",IF(AG15=AG14,AJ14,AE14))</x:f>
        <x:v>1386</x:v>
      </x:c>
      <x:c r="AK15" s="60" t="n">
        <x:f>IF(OR(H15="Vundet",H15="Tabt"),1,0)</x:f>
        <x:v>1</x:v>
      </x:c>
      <x:c r="AL15" s="60" t="n"/>
      <x:c r="AM15" s="60" t="n">
        <x:f>MAX($AG$10:$AG$209)</x:f>
        <x:v>4</x:v>
      </x:c>
      <x:c r="AN15" s="60" t="n">
        <x:f>IF(C15="","",IF(AND(C16&lt;&gt;"",C16&lt;&gt;C15),1,0))</x:f>
        <x:v>0</x:v>
      </x:c>
      <x:c r="AO15" s="60" t="n"/>
      <x:c r="AP15" s="60" t="n">
        <x:f>MAX($AG$10:$AG$209)</x:f>
        <x:v>4</x:v>
      </x:c>
      <x:c r="AQ15" t="n">
        <x:f>AG15</x:f>
        <x:v>2</x:v>
      </x:c>
      <x:c r="AR15" t="str">
        <x:f>C15</x:f>
        <x:v>Victor LBS</x:v>
      </x:c>
      <x:c r="AS15" t="str">
        <x:f>E15</x:f>
        <x:v>Jylland</x:v>
      </x:c>
    </x:row>
    <x:row r="16">
      <x:c r="A16" s="60" t="n">
        <x:f>IF(C16="","",COUNTIF($C$10:C16,"&lt;&gt;"))</x:f>
        <x:v>7</x:v>
      </x:c>
      <x:c r="B16" s="122" t="n">
        <x:v>46277</x:v>
      </x:c>
      <x:c r="C16" s="87" t="inlineStr">
        <x:is>
          <x:t xml:space="preserve">Victor LBS</x:t>
        </x:is>
      </x:c>
      <x:c r="D16" s="87" t="inlineStr">
        <x:is>
          <x:t xml:space="preserve">Pulje</x:t>
        </x:is>
      </x:c>
      <x:c r="E16" s="87" t="inlineStr">
        <x:is>
          <x:t xml:space="preserve">Jylland</x:t>
        </x:is>
      </x:c>
      <x:c r="F16" s="87" t="inlineStr">
        <x:is>
          <x:t xml:space="preserve">Individuel turnering</x:t>
        </x:is>
      </x:c>
      <x:c r="G16" s="87" t="inlineStr">
        <x:is>
          <x:t xml:space="preserve">Double</x:t>
        </x:is>
      </x:c>
      <x:c r="H16" s="87" t="inlineStr">
        <x:is>
          <x:t xml:space="preserve">Vundet</x:t>
        </x:is>
      </x:c>
      <x:c r="I16" s="87" t="inlineStr">
        <x:is>
          <x:t xml:space="preserve">Mads Emil Ginnerup</x:t>
        </x:is>
      </x:c>
      <x:c r="J16" s="87" t="n">
        <x:v>1661</x:v>
      </x:c>
      <x:c r="K16" s="87" t="inlineStr">
        <x:is>
          <x:t xml:space="preserve">Rasmus Madsen</x:t>
        </x:is>
      </x:c>
      <x:c r="L16" s="87" t="n">
        <x:v>1632</x:v>
      </x:c>
      <x:c r="M16" s="87" t="inlineStr">
        <x:is>
          <x:t xml:space="preserve">Emil Kristian Eg</x:t>
        </x:is>
      </x:c>
      <x:c r="N16" s="87" t="n">
        <x:v>1725</x:v>
      </x:c>
      <x:c r="O16" s="62" t="n">
        <x:f>IF(G16="","",IF(G16="Single",AH16,IF(G16="Double",AI16,AJ16)))</x:f>
        <x:v>1638</x:v>
      </x:c>
      <x:c r="P16" s="62" t="n">
        <x:f>IF(OR(G16="",H16="Ikke spillet"),"",IF(G16="Single",O16,IF(J16="","",(O16+J16)/2)))</x:f>
        <x:v>1649.5</x:v>
      </x:c>
      <x:c r="Q16" s="62" t="n">
        <x:f>IF(OR(G16="",H16="Ikke spillet"),"",IF(G16="Single",L16,IF(OR(L16="",N16=""),"",(L16+N16)/2)))</x:f>
        <x:v>1678.5</x:v>
      </x:c>
      <x:c r="R16" s="62" t="n">
        <x:f>IF(OR(P16="",Q16=""),"",Q16-P16)</x:f>
        <x:v>29</x:v>
      </x:c>
      <x:c r="S16" s="62" t="str">
        <x:f>IF(H16="Ikke spillet","",IF(R16="","",IF(ABS(R16)&lt;0.000001,"Lige (0)",VLOOKUP(ABS(R16),'BD Pointtabel'!$A$4:$G$15,2,TRUE))))</x:f>
        <x:v>25-49</x:v>
      </x:c>
      <x:c r="T16" s="62" t="str">
        <x:f>IF(H16="Ikke spillet","Ikke spillet",IF(H16="Planlagt","Planlagt",IF(OR(H16="",P16="",Q16=""),"",IF(H16="Vundet",IF(R16&gt;0,"Uventet sejr","Ventet sejr"),IF(R16&gt;=0,"Ventet nederlag","Uventet nederlag")))))</x:f>
        <x:v>Uventet sejr</x:v>
      </x:c>
      <x:c r="U16" s="62" t="n">
        <x:f>IF(OR(H16="Ikke spillet",H16="Planlagt"),"",IF(OR(G16="",H16="",P16="",Q16=""),"",IF(AND(F16="Ungdomsholdturnering",OR(G16="Double",G16="Mix"),H16="Tabt"),0,IF(H16="Vundet",IF(R16&gt;0,VLOOKUP(ABS(R16),'BD Pointtabel'!$A$4:$G$15,4,TRUE),VLOOKUP(ABS(R16),'BD Pointtabel'!$A$4:$G$15,7,TRUE)),IF(R16&gt;=0,VLOOKUP(ABS(R16),'BD Pointtabel'!$A$4:$G$15,6,TRUE),VLOOKUP(ABS(R16),'BD Pointtabel'!$A$4:$G$15,3,TRUE))))))</x:f>
        <x:v>16</x:v>
      </x:c>
      <x:c r="V16" s="62" t="n">
        <x:f>IF(G16="","",SUMIFS($U$10:U16,$AG$10:AG16,AG16,$G$10:G16,G16))</x:f>
        <x:v>30</x:v>
      </x:c>
      <x:c r="W16" s="62" t="str">
        <x:f>IF(C16="","",IF(AN16&lt;&gt;1,"",IF(G16="Single",AA16,IF(G16="Double",AC16,AE16))))</x:f>
      </x:c>
      <x:c r="X16" s="62" t="str">
        <x:f>IF(C16="","",IF(AN16&lt;&gt;1,"",ROUND(((AA16*AB16+AC16*AD16+AE16*AF16)/(AB16+AD16+AF16))+IF((MAX(AA16,AC16,AE16)-(AA16+AC16+AE16-MAX(AA16,AC16,AE16)-MIN(AA16,AC16,AE16)))&lt;'Model &amp; indstillinger'!$E$16,'Model &amp; indstillinger'!$E$18,'Model &amp; indstillinger'!$E$20)*(MAX(AA16,AC16,AE16)-((AA16*AB16+AC16*AD16+AE16*AF16)/(AB16+AD16+AF16))),0)))</x:f>
      </x:c>
      <x:c r="Y16" s="62" t="str">
        <x:f>IF(X16="","",'Model &amp; indstillinger'!$B$4-X16)</x:f>
      </x:c>
      <x:c r="Z16" s="62" t="str">
        <x:f>IF(C16="","",IF(H16="Planlagt","Planlagt – ingen point endnu",IF(H16="Ikke spillet","Ikke spillet – tæller ikke som kamp og giver ingen point",IF(AN16=1,"STÆVNE SLUT – samlet point tilskrives","Frosset pointgrundlag – ingen tilskrivning endnu"))))</x:f>
        <x:v>Frosset pointgrundlag – ingen tilskrivning endnu</x:v>
      </x:c>
      <x:c r="AA16" s="60" t="n">
        <x:f>IF(C16="","",'Model &amp; indstillinger'!$B$6+SUMIFS($U$10:U16,$G$10:G16,"Single"))</x:f>
        <x:v>1743</x:v>
      </x:c>
      <x:c r="AB16" s="60" t="n">
        <x:f>IF(C16="","",'Model &amp; indstillinger'!$B$7+COUNTIFS($G$10:G16,"Single",$AK$10:AK16,1))</x:f>
        <x:v>49</x:v>
      </x:c>
      <x:c r="AC16" s="60" t="n">
        <x:f>IF(C16="","",'Model &amp; indstillinger'!$B$8+SUMIFS($U$10:U16,$G$10:G16,"Double"))</x:f>
        <x:v>1668</x:v>
      </x:c>
      <x:c r="AD16" s="60" t="n">
        <x:f>IF(C16="","",'Model &amp; indstillinger'!$B$9+COUNTIFS($G$10:G16,"Double",$AK$10:AK16,1))</x:f>
        <x:v>45</x:v>
      </x:c>
      <x:c r="AE16" s="60" t="n">
        <x:f>IF(C16="","",'Model &amp; indstillinger'!$B$10+SUMIFS($U$10:U16,$G$10:G16,"Mix"))</x:f>
        <x:v>1386</x:v>
      </x:c>
      <x:c r="AF16" s="60" t="n">
        <x:f>IF(C16="","",'Model &amp; indstillinger'!$B$11+COUNTIFS($G$10:G16,"Mix",$AK$10:AK16,1))</x:f>
        <x:v>5</x:v>
      </x:c>
      <x:c r="AG16" s="60" t="n">
        <x:f>IF(C16="","",IF(C16=C15,AG15,AG15+1))</x:f>
        <x:v>2</x:v>
      </x:c>
      <x:c r="AH16" s="60" t="n">
        <x:f>IF(C16="","",IF(AG16=AG15,AH15,AA15))</x:f>
        <x:v>1712</x:v>
      </x:c>
      <x:c r="AI16" s="60" t="n">
        <x:f>IF(C16="","",IF(AG16=AG15,AI15,AC15))</x:f>
        <x:v>1638</x:v>
      </x:c>
      <x:c r="AJ16" s="60" t="n">
        <x:f>IF(C16="","",IF(AG16=AG15,AJ15,AE15))</x:f>
        <x:v>1386</x:v>
      </x:c>
      <x:c r="AK16" s="60" t="n">
        <x:f>IF(OR(H16="Vundet",H16="Tabt"),1,0)</x:f>
        <x:v>1</x:v>
      </x:c>
      <x:c r="AL16" s="60" t="n"/>
      <x:c r="AM16" s="60" t="n">
        <x:f>MAX($AG$10:$AG$209)</x:f>
        <x:v>4</x:v>
      </x:c>
      <x:c r="AN16" s="60" t="n">
        <x:f>IF(C16="","",IF(AND(C17&lt;&gt;"",C17&lt;&gt;C16),1,0))</x:f>
        <x:v>0</x:v>
      </x:c>
      <x:c r="AO16" s="60" t="n"/>
      <x:c r="AP16" s="60" t="n">
        <x:f>MAX($AG$10:$AG$209)</x:f>
        <x:v>4</x:v>
      </x:c>
      <x:c r="AQ16" t="n">
        <x:f>AG16</x:f>
        <x:v>2</x:v>
      </x:c>
      <x:c r="AR16" t="str">
        <x:f>C16</x:f>
        <x:v>Victor LBS</x:v>
      </x:c>
      <x:c r="AS16" t="str">
        <x:f>E16</x:f>
        <x:v>Jylland</x:v>
      </x:c>
    </x:row>
    <x:row r="17">
      <x:c r="A17" s="60" t="n">
        <x:f>IF(C17="","",COUNTIF($C$10:C17,"&lt;&gt;"))</x:f>
        <x:v>8</x:v>
      </x:c>
      <x:c r="B17" s="122" t="n">
        <x:v>46277</x:v>
      </x:c>
      <x:c r="C17" s="87" t="inlineStr">
        <x:is>
          <x:t xml:space="preserve">Victor LBS</x:t>
        </x:is>
      </x:c>
      <x:c r="D17" s="87" t="inlineStr">
        <x:is>
          <x:t xml:space="preserve">Pulje</x:t>
        </x:is>
      </x:c>
      <x:c r="E17" s="87" t="inlineStr">
        <x:is>
          <x:t xml:space="preserve">Jylland</x:t>
        </x:is>
      </x:c>
      <x:c r="F17" s="87" t="inlineStr">
        <x:is>
          <x:t xml:space="preserve">Individuel turnering</x:t>
        </x:is>
      </x:c>
      <x:c r="G17" s="87" t="inlineStr">
        <x:is>
          <x:t xml:space="preserve">Double</x:t>
        </x:is>
      </x:c>
      <x:c r="H17" s="87" t="inlineStr">
        <x:is>
          <x:t xml:space="preserve">Vundet</x:t>
        </x:is>
      </x:c>
      <x:c r="I17" s="87" t="inlineStr">
        <x:is>
          <x:t xml:space="preserve">Mads Emil Ginnerup</x:t>
        </x:is>
      </x:c>
      <x:c r="J17" s="87" t="n">
        <x:v>1661</x:v>
      </x:c>
      <x:c r="K17" s="87" t="inlineStr">
        <x:is>
          <x:t xml:space="preserve">Thyge Damgaard Rasmussen</x:t>
        </x:is>
      </x:c>
      <x:c r="L17" s="87" t="n">
        <x:v>1739</x:v>
      </x:c>
      <x:c r="M17" s="87" t="inlineStr">
        <x:is>
          <x:t xml:space="preserve">Maximus Læborg Eggertsen</x:t>
        </x:is>
      </x:c>
      <x:c r="N17" s="87" t="n">
        <x:v>1684</x:v>
      </x:c>
      <x:c r="O17" s="62" t="n">
        <x:f>IF(G17="","",IF(G17="Single",AH17,IF(G17="Double",AI17,AJ17)))</x:f>
        <x:v>1638</x:v>
      </x:c>
      <x:c r="P17" s="62" t="n">
        <x:f>IF(OR(G17="",H17="Ikke spillet"),"",IF(G17="Single",O17,IF(J17="","",(O17+J17)/2)))</x:f>
        <x:v>1649.5</x:v>
      </x:c>
      <x:c r="Q17" s="62" t="n">
        <x:f>IF(OR(G17="",H17="Ikke spillet"),"",IF(G17="Single",L17,IF(OR(L17="",N17=""),"",(L17+N17)/2)))</x:f>
        <x:v>1711.5</x:v>
      </x:c>
      <x:c r="R17" s="62" t="n">
        <x:f>IF(OR(P17="",Q17=""),"",Q17-P17)</x:f>
        <x:v>62</x:v>
      </x:c>
      <x:c r="S17" s="62" t="str">
        <x:f>IF(H17="Ikke spillet","",IF(R17="","",IF(ABS(R17)&lt;0.000001,"Lige (0)",VLOOKUP(ABS(R17),'BD Pointtabel'!$A$4:$G$15,2,TRUE))))</x:f>
        <x:v>50-74</x:v>
      </x:c>
      <x:c r="T17" s="62" t="str">
        <x:f>IF(H17="Ikke spillet","Ikke spillet",IF(H17="Planlagt","Planlagt",IF(OR(H17="",P17="",Q17=""),"",IF(H17="Vundet",IF(R17&gt;0,"Uventet sejr","Ventet sejr"),IF(R17&gt;=0,"Ventet nederlag","Uventet nederlag")))))</x:f>
        <x:v>Uventet sejr</x:v>
      </x:c>
      <x:c r="U17" s="62" t="n">
        <x:f>IF(OR(H17="Ikke spillet",H17="Planlagt"),"",IF(OR(G17="",H17="",P17="",Q17=""),"",IF(AND(F17="Ungdomsholdturnering",OR(G17="Double",G17="Mix"),H17="Tabt"),0,IF(H17="Vundet",IF(R17&gt;0,VLOOKUP(ABS(R17),'BD Pointtabel'!$A$4:$G$15,4,TRUE),VLOOKUP(ABS(R17),'BD Pointtabel'!$A$4:$G$15,7,TRUE)),IF(R17&gt;=0,VLOOKUP(ABS(R17),'BD Pointtabel'!$A$4:$G$15,6,TRUE),VLOOKUP(ABS(R17),'BD Pointtabel'!$A$4:$G$15,3,TRUE))))))</x:f>
        <x:v>18</x:v>
      </x:c>
      <x:c r="V17" s="62" t="n">
        <x:f>IF(G17="","",SUMIFS($U$10:U17,$AG$10:AG17,AG17,$G$10:G17,G17))</x:f>
        <x:v>48</x:v>
      </x:c>
      <x:c r="W17" s="62" t="str">
        <x:f>IF(C17="","",IF(AN17&lt;&gt;1,"",IF(G17="Single",AA17,IF(G17="Double",AC17,AE17))))</x:f>
      </x:c>
      <x:c r="X17" s="62" t="str">
        <x:f>IF(C17="","",IF(AN17&lt;&gt;1,"",ROUND(((AA17*AB17+AC17*AD17+AE17*AF17)/(AB17+AD17+AF17))+IF((MAX(AA17,AC17,AE17)-(AA17+AC17+AE17-MAX(AA17,AC17,AE17)-MIN(AA17,AC17,AE17)))&lt;'Model &amp; indstillinger'!$E$16,'Model &amp; indstillinger'!$E$18,'Model &amp; indstillinger'!$E$20)*(MAX(AA17,AC17,AE17)-((AA17*AB17+AC17*AD17+AE17*AF17)/(AB17+AD17+AF17))),0)))</x:f>
      </x:c>
      <x:c r="Y17" s="62" t="str">
        <x:f>IF(X17="","",'Model &amp; indstillinger'!$B$4-X17)</x:f>
      </x:c>
      <x:c r="Z17" s="62" t="str">
        <x:f>IF(C17="","",IF(H17="Planlagt","Planlagt – ingen point endnu",IF(H17="Ikke spillet","Ikke spillet – tæller ikke som kamp og giver ingen point",IF(AN17=1,"STÆVNE SLUT – samlet point tilskrives","Frosset pointgrundlag – ingen tilskrivning endnu"))))</x:f>
        <x:v>Frosset pointgrundlag – ingen tilskrivning endnu</x:v>
      </x:c>
      <x:c r="AA17" s="60" t="n">
        <x:f>IF(C17="","",'Model &amp; indstillinger'!$B$6+SUMIFS($U$10:U17,$G$10:G17,"Single"))</x:f>
        <x:v>1743</x:v>
      </x:c>
      <x:c r="AB17" s="60" t="n">
        <x:f>IF(C17="","",'Model &amp; indstillinger'!$B$7+COUNTIFS($G$10:G17,"Single",$AK$10:AK17,1))</x:f>
        <x:v>49</x:v>
      </x:c>
      <x:c r="AC17" s="60" t="n">
        <x:f>IF(C17="","",'Model &amp; indstillinger'!$B$8+SUMIFS($U$10:U17,$G$10:G17,"Double"))</x:f>
        <x:v>1686</x:v>
      </x:c>
      <x:c r="AD17" s="60" t="n">
        <x:f>IF(C17="","",'Model &amp; indstillinger'!$B$9+COUNTIFS($G$10:G17,"Double",$AK$10:AK17,1))</x:f>
        <x:v>46</x:v>
      </x:c>
      <x:c r="AE17" s="60" t="n">
        <x:f>IF(C17="","",'Model &amp; indstillinger'!$B$10+SUMIFS($U$10:U17,$G$10:G17,"Mix"))</x:f>
        <x:v>1386</x:v>
      </x:c>
      <x:c r="AF17" s="60" t="n">
        <x:f>IF(C17="","",'Model &amp; indstillinger'!$B$11+COUNTIFS($G$10:G17,"Mix",$AK$10:AK17,1))</x:f>
        <x:v>5</x:v>
      </x:c>
      <x:c r="AG17" s="60" t="n">
        <x:f>IF(C17="","",IF(C17=C16,AG16,AG16+1))</x:f>
        <x:v>2</x:v>
      </x:c>
      <x:c r="AH17" s="60" t="n">
        <x:f>IF(C17="","",IF(AG17=AG16,AH16,AA16))</x:f>
        <x:v>1712</x:v>
      </x:c>
      <x:c r="AI17" s="60" t="n">
        <x:f>IF(C17="","",IF(AG17=AG16,AI16,AC16))</x:f>
        <x:v>1638</x:v>
      </x:c>
      <x:c r="AJ17" s="60" t="n">
        <x:f>IF(C17="","",IF(AG17=AG16,AJ16,AE16))</x:f>
        <x:v>1386</x:v>
      </x:c>
      <x:c r="AK17" s="60" t="n">
        <x:f>IF(OR(H17="Vundet",H17="Tabt"),1,0)</x:f>
        <x:v>1</x:v>
      </x:c>
      <x:c r="AL17" s="60" t="n"/>
      <x:c r="AM17" s="60" t="n">
        <x:f>MAX($AG$10:$AG$209)</x:f>
        <x:v>4</x:v>
      </x:c>
      <x:c r="AN17" s="60" t="n">
        <x:f>IF(C17="","",IF(AND(C18&lt;&gt;"",C18&lt;&gt;C17),1,0))</x:f>
        <x:v>0</x:v>
      </x:c>
      <x:c r="AO17" s="60" t="n"/>
      <x:c r="AP17" s="60" t="n">
        <x:f>MAX($AG$10:$AG$209)</x:f>
        <x:v>4</x:v>
      </x:c>
      <x:c r="AQ17" t="n">
        <x:f>AG17</x:f>
        <x:v>2</x:v>
      </x:c>
      <x:c r="AR17" t="str">
        <x:f>C17</x:f>
        <x:v>Victor LBS</x:v>
      </x:c>
      <x:c r="AS17" t="str">
        <x:f>E17</x:f>
        <x:v>Jylland</x:v>
      </x:c>
    </x:row>
    <x:row r="18">
      <x:c r="A18" s="60" t="n">
        <x:f>IF(C18="","",COUNTIF($C$10:C18,"&lt;&gt;"))</x:f>
        <x:v>9</x:v>
      </x:c>
      <x:c r="B18" s="122" t="n">
        <x:v>46277</x:v>
      </x:c>
      <x:c r="C18" s="87" t="inlineStr">
        <x:is>
          <x:t xml:space="preserve">Victor LBS</x:t>
        </x:is>
      </x:c>
      <x:c r="D18" s="87" t="inlineStr">
        <x:is>
          <x:t xml:space="preserve">Kvartfinale</x:t>
        </x:is>
      </x:c>
      <x:c r="E18" s="87" t="inlineStr">
        <x:is>
          <x:t xml:space="preserve">Jylland</x:t>
        </x:is>
      </x:c>
      <x:c r="F18" s="87" t="inlineStr">
        <x:is>
          <x:t xml:space="preserve">Individuel turnering</x:t>
        </x:is>
      </x:c>
      <x:c r="G18" s="87" t="inlineStr">
        <x:is>
          <x:t xml:space="preserve">Single</x:t>
        </x:is>
      </x:c>
      <x:c r="H18" s="87" t="inlineStr">
        <x:is>
          <x:t xml:space="preserve">Ikke spillet</x:t>
        </x:is>
      </x:c>
      <x:c r="I18" s="87" t="n"/>
      <x:c r="J18" s="87" t="n"/>
      <x:c r="K18" s="87" t="n"/>
      <x:c r="L18" s="87" t="n"/>
      <x:c r="M18" s="87" t="n"/>
      <x:c r="N18" s="87" t="n"/>
      <x:c r="O18" s="62" t="n">
        <x:f>IF(G18="","",IF(G18="Single",AH18,IF(G18="Double",AI18,AJ18)))</x:f>
        <x:v>1712</x:v>
      </x:c>
      <x:c r="P18" s="62" t="str">
        <x:f>IF(OR(G18="",H18="Ikke spillet"),"",IF(G18="Single",O18,IF(J18="","",(O18+J18)/2)))</x:f>
      </x:c>
      <x:c r="Q18" s="62" t="str">
        <x:f>IF(OR(G18="",H18="Ikke spillet"),"",IF(G18="Single",L18,IF(OR(L18="",N18=""),"",(L18+N18)/2)))</x:f>
      </x:c>
      <x:c r="R18" s="62" t="str">
        <x:f>IF(OR(P18="",Q18=""),"",Q18-P18)</x:f>
      </x:c>
      <x:c r="S18" s="62" t="str">
        <x:f>IF(H18="Ikke spillet","",IF(R18="","",IF(ABS(R18)&lt;0.000001,"Lige (0)",VLOOKUP(ABS(R18),'BD Pointtabel'!$A$4:$G$15,2,TRUE))))</x:f>
      </x:c>
      <x:c r="T18" s="62" t="str">
        <x:f>IF(H18="Ikke spillet","Ikke spillet",IF(H18="Planlagt","Planlagt",IF(OR(H18="",P18="",Q18=""),"",IF(H18="Vundet",IF(R18&gt;0,"Uventet sejr","Ventet sejr"),IF(R18&gt;=0,"Ventet nederlag","Uventet nederlag")))))</x:f>
        <x:v>Ikke spillet</x:v>
      </x:c>
      <x:c r="U18" s="62" t="str">
        <x:f>IF(OR(H18="Ikke spillet",H18="Planlagt"),"",IF(OR(G18="",H18="",P18="",Q18=""),"",IF(AND(F18="Ungdomsholdturnering",OR(G18="Double",G18="Mix"),H18="Tabt"),0,IF(H18="Vundet",IF(R18&gt;0,VLOOKUP(ABS(R18),'BD Pointtabel'!$A$4:$G$15,4,TRUE),VLOOKUP(ABS(R18),'BD Pointtabel'!$A$4:$G$15,7,TRUE)),IF(R18&gt;=0,VLOOKUP(ABS(R18),'BD Pointtabel'!$A$4:$G$15,6,TRUE),VLOOKUP(ABS(R18),'BD Pointtabel'!$A$4:$G$15,3,TRUE))))))</x:f>
      </x:c>
      <x:c r="V18" s="62" t="n">
        <x:f>IF(G18="","",SUMIFS($U$10:U18,$AG$10:AG18,AG18,$G$10:G18,G18))</x:f>
        <x:v>31</x:v>
      </x:c>
      <x:c r="W18" s="62" t="str">
        <x:f>IF(C18="","",IF(AN18&lt;&gt;1,"",IF(G18="Single",AA18,IF(G18="Double",AC18,AE18))))</x:f>
      </x:c>
      <x:c r="X18" s="62" t="str">
        <x:f>IF(C18="","",IF(AN18&lt;&gt;1,"",ROUND(((AA18*AB18+AC18*AD18+AE18*AF18)/(AB18+AD18+AF18))+IF((MAX(AA18,AC18,AE18)-(AA18+AC18+AE18-MAX(AA18,AC18,AE18)-MIN(AA18,AC18,AE18)))&lt;'Model &amp; indstillinger'!$E$16,'Model &amp; indstillinger'!$E$18,'Model &amp; indstillinger'!$E$20)*(MAX(AA18,AC18,AE18)-((AA18*AB18+AC18*AD18+AE18*AF18)/(AB18+AD18+AF18))),0)))</x:f>
      </x:c>
      <x:c r="Y18" s="62" t="str">
        <x:f>IF(X18="","",'Model &amp; indstillinger'!$B$4-X18)</x:f>
      </x:c>
      <x:c r="Z18" s="62" t="str">
        <x:f>IF(C18="","",IF(H18="Planlagt","Planlagt – ingen point endnu",IF(H18="Ikke spillet","Ikke spillet – tæller ikke som kamp og giver ingen point",IF(AN18=1,"STÆVNE SLUT – samlet point tilskrives","Frosset pointgrundlag – ingen tilskrivning endnu"))))</x:f>
        <x:v>Ikke spillet – tæller ikke som kamp og giver ingen point</x:v>
      </x:c>
      <x:c r="AA18" s="60" t="n">
        <x:f>IF(C18="","",'Model &amp; indstillinger'!$B$6+SUMIFS($U$10:U18,$G$10:G18,"Single"))</x:f>
        <x:v>1743</x:v>
      </x:c>
      <x:c r="AB18" s="60" t="n">
        <x:f>IF(C18="","",'Model &amp; indstillinger'!$B$7+COUNTIFS($G$10:G18,"Single",$AK$10:AK18,1))</x:f>
        <x:v>49</x:v>
      </x:c>
      <x:c r="AC18" s="60" t="n">
        <x:f>IF(C18="","",'Model &amp; indstillinger'!$B$8+SUMIFS($U$10:U18,$G$10:G18,"Double"))</x:f>
        <x:v>1686</x:v>
      </x:c>
      <x:c r="AD18" s="60" t="n">
        <x:f>IF(C18="","",'Model &amp; indstillinger'!$B$9+COUNTIFS($G$10:G18,"Double",$AK$10:AK18,1))</x:f>
        <x:v>46</x:v>
      </x:c>
      <x:c r="AE18" s="60" t="n">
        <x:f>IF(C18="","",'Model &amp; indstillinger'!$B$10+SUMIFS($U$10:U18,$G$10:G18,"Mix"))</x:f>
        <x:v>1386</x:v>
      </x:c>
      <x:c r="AF18" s="60" t="n">
        <x:f>IF(C18="","",'Model &amp; indstillinger'!$B$11+COUNTIFS($G$10:G18,"Mix",$AK$10:AK18,1))</x:f>
        <x:v>5</x:v>
      </x:c>
      <x:c r="AG18" s="60" t="n">
        <x:f>IF(C18="","",IF(C18=C17,AG17,AG17+1))</x:f>
        <x:v>2</x:v>
      </x:c>
      <x:c r="AH18" s="60" t="n">
        <x:f>IF(C18="","",IF(AG18=AG17,AH17,AA17))</x:f>
        <x:v>1712</x:v>
      </x:c>
      <x:c r="AI18" s="60" t="n">
        <x:f>IF(C18="","",IF(AG18=AG17,AI17,AC17))</x:f>
        <x:v>1638</x:v>
      </x:c>
      <x:c r="AJ18" s="60" t="n">
        <x:f>IF(C18="","",IF(AG18=AG17,AJ17,AE17))</x:f>
        <x:v>1386</x:v>
      </x:c>
      <x:c r="AK18" s="60" t="n">
        <x:f>IF(OR(H18="Vundet",H18="Tabt"),1,0)</x:f>
        <x:v>0</x:v>
      </x:c>
      <x:c r="AL18" s="60" t="n"/>
      <x:c r="AM18" s="60" t="n">
        <x:f>MAX($AG$10:$AG$209)</x:f>
        <x:v>4</x:v>
      </x:c>
      <x:c r="AN18" s="60" t="n">
        <x:f>IF(C18="","",IF(AND(C19&lt;&gt;"",C19&lt;&gt;C18),1,0))</x:f>
        <x:v>0</x:v>
      </x:c>
      <x:c r="AO18" s="60" t="n"/>
      <x:c r="AP18" s="60" t="n">
        <x:f>MAX($AG$10:$AG$209)</x:f>
        <x:v>4</x:v>
      </x:c>
      <x:c r="AQ18" t="n">
        <x:f>AG18</x:f>
        <x:v>2</x:v>
      </x:c>
      <x:c r="AR18" t="str">
        <x:f>C18</x:f>
        <x:v>Victor LBS</x:v>
      </x:c>
      <x:c r="AS18" t="str">
        <x:f>E18</x:f>
        <x:v>Jylland</x:v>
      </x:c>
    </x:row>
    <x:row r="19">
      <x:c r="A19" s="60" t="n">
        <x:f>IF(C19="","",COUNTIF($C$10:C19,"&lt;&gt;"))</x:f>
        <x:v>10</x:v>
      </x:c>
      <x:c r="B19" s="122" t="n">
        <x:v>46277</x:v>
      </x:c>
      <x:c r="C19" s="87" t="inlineStr">
        <x:is>
          <x:t xml:space="preserve">Victor LBS</x:t>
        </x:is>
      </x:c>
      <x:c r="D19" s="87" t="inlineStr">
        <x:is>
          <x:t xml:space="preserve">Semifinale</x:t>
        </x:is>
      </x:c>
      <x:c r="E19" s="87" t="inlineStr">
        <x:is>
          <x:t xml:space="preserve">Jylland</x:t>
        </x:is>
      </x:c>
      <x:c r="F19" s="87" t="inlineStr">
        <x:is>
          <x:t xml:space="preserve">Individuel turnering</x:t>
        </x:is>
      </x:c>
      <x:c r="G19" s="87" t="inlineStr">
        <x:is>
          <x:t xml:space="preserve">Single</x:t>
        </x:is>
      </x:c>
      <x:c r="H19" s="87" t="inlineStr">
        <x:is>
          <x:t xml:space="preserve">Ikke spillet</x:t>
        </x:is>
      </x:c>
      <x:c r="I19" s="87" t="n"/>
      <x:c r="J19" s="87" t="n"/>
      <x:c r="K19" s="87" t="n"/>
      <x:c r="L19" s="87" t="n"/>
      <x:c r="M19" s="87" t="n"/>
      <x:c r="N19" s="87" t="n"/>
      <x:c r="O19" s="62" t="n">
        <x:f>IF(G19="","",IF(G19="Single",AH19,IF(G19="Double",AI19,AJ19)))</x:f>
        <x:v>1712</x:v>
      </x:c>
      <x:c r="P19" s="62" t="str">
        <x:f>IF(OR(G19="",H19="Ikke spillet"),"",IF(G19="Single",O19,IF(J19="","",(O19+J19)/2)))</x:f>
      </x:c>
      <x:c r="Q19" s="62" t="str">
        <x:f>IF(OR(G19="",H19="Ikke spillet"),"",IF(G19="Single",L19,IF(OR(L19="",N19=""),"",(L19+N19)/2)))</x:f>
      </x:c>
      <x:c r="R19" s="62" t="str">
        <x:f>IF(OR(P19="",Q19=""),"",Q19-P19)</x:f>
      </x:c>
      <x:c r="S19" s="62" t="str">
        <x:f>IF(H19="Ikke spillet","",IF(R19="","",IF(ABS(R19)&lt;0.000001,"Lige (0)",VLOOKUP(ABS(R19),'BD Pointtabel'!$A$4:$G$15,2,TRUE))))</x:f>
      </x:c>
      <x:c r="T19" s="62" t="str">
        <x:f>IF(H19="Ikke spillet","Ikke spillet",IF(H19="Planlagt","Planlagt",IF(OR(H19="",P19="",Q19=""),"",IF(H19="Vundet",IF(R19&gt;0,"Uventet sejr","Ventet sejr"),IF(R19&gt;=0,"Ventet nederlag","Uventet nederlag")))))</x:f>
        <x:v>Ikke spillet</x:v>
      </x:c>
      <x:c r="U19" s="62" t="str">
        <x:f>IF(OR(H19="Ikke spillet",H19="Planlagt"),"",IF(OR(G19="",H19="",P19="",Q19=""),"",IF(AND(F19="Ungdomsholdturnering",OR(G19="Double",G19="Mix"),H19="Tabt"),0,IF(H19="Vundet",IF(R19&gt;0,VLOOKUP(ABS(R19),'BD Pointtabel'!$A$4:$G$15,4,TRUE),VLOOKUP(ABS(R19),'BD Pointtabel'!$A$4:$G$15,7,TRUE)),IF(R19&gt;=0,VLOOKUP(ABS(R19),'BD Pointtabel'!$A$4:$G$15,6,TRUE),VLOOKUP(ABS(R19),'BD Pointtabel'!$A$4:$G$15,3,TRUE))))))</x:f>
      </x:c>
      <x:c r="V19" s="62" t="n">
        <x:f>IF(G19="","",SUMIFS($U$10:U19,$AG$10:AG19,AG19,$G$10:G19,G19))</x:f>
        <x:v>31</x:v>
      </x:c>
      <x:c r="W19" s="62" t="str">
        <x:f>IF(C19="","",IF(AN19&lt;&gt;1,"",IF(G19="Single",AA19,IF(G19="Double",AC19,AE19))))</x:f>
      </x:c>
      <x:c r="X19" s="62" t="str">
        <x:f>IF(C19="","",IF(AN19&lt;&gt;1,"",ROUND(((AA19*AB19+AC19*AD19+AE19*AF19)/(AB19+AD19+AF19))+IF((MAX(AA19,AC19,AE19)-(AA19+AC19+AE19-MAX(AA19,AC19,AE19)-MIN(AA19,AC19,AE19)))&lt;'Model &amp; indstillinger'!$E$16,'Model &amp; indstillinger'!$E$18,'Model &amp; indstillinger'!$E$20)*(MAX(AA19,AC19,AE19)-((AA19*AB19+AC19*AD19+AE19*AF19)/(AB19+AD19+AF19))),0)))</x:f>
      </x:c>
      <x:c r="Y19" s="62" t="str">
        <x:f>IF(X19="","",'Model &amp; indstillinger'!$B$4-X19)</x:f>
      </x:c>
      <x:c r="Z19" s="62" t="str">
        <x:f>IF(C19="","",IF(H19="Planlagt","Planlagt – ingen point endnu",IF(H19="Ikke spillet","Ikke spillet – tæller ikke som kamp og giver ingen point",IF(AN19=1,"STÆVNE SLUT – samlet point tilskrives","Frosset pointgrundlag – ingen tilskrivning endnu"))))</x:f>
        <x:v>Ikke spillet – tæller ikke som kamp og giver ingen point</x:v>
      </x:c>
      <x:c r="AA19" s="60" t="n">
        <x:f>IF(C19="","",'Model &amp; indstillinger'!$B$6+SUMIFS($U$10:U19,$G$10:G19,"Single"))</x:f>
        <x:v>1743</x:v>
      </x:c>
      <x:c r="AB19" s="60" t="n">
        <x:f>IF(C19="","",'Model &amp; indstillinger'!$B$7+COUNTIFS($G$10:G19,"Single",$AK$10:AK19,1))</x:f>
        <x:v>49</x:v>
      </x:c>
      <x:c r="AC19" s="60" t="n">
        <x:f>IF(C19="","",'Model &amp; indstillinger'!$B$8+SUMIFS($U$10:U19,$G$10:G19,"Double"))</x:f>
        <x:v>1686</x:v>
      </x:c>
      <x:c r="AD19" s="60" t="n">
        <x:f>IF(C19="","",'Model &amp; indstillinger'!$B$9+COUNTIFS($G$10:G19,"Double",$AK$10:AK19,1))</x:f>
        <x:v>46</x:v>
      </x:c>
      <x:c r="AE19" s="60" t="n">
        <x:f>IF(C19="","",'Model &amp; indstillinger'!$B$10+SUMIFS($U$10:U19,$G$10:G19,"Mix"))</x:f>
        <x:v>1386</x:v>
      </x:c>
      <x:c r="AF19" s="60" t="n">
        <x:f>IF(C19="","",'Model &amp; indstillinger'!$B$11+COUNTIFS($G$10:G19,"Mix",$AK$10:AK19,1))</x:f>
        <x:v>5</x:v>
      </x:c>
      <x:c r="AG19" s="60" t="n">
        <x:f>IF(C19="","",IF(C19=C18,AG18,AG18+1))</x:f>
        <x:v>2</x:v>
      </x:c>
      <x:c r="AH19" s="60" t="n">
        <x:f>IF(C19="","",IF(AG19=AG18,AH18,AA18))</x:f>
        <x:v>1712</x:v>
      </x:c>
      <x:c r="AI19" s="60" t="n">
        <x:f>IF(C19="","",IF(AG19=AG18,AI18,AC18))</x:f>
        <x:v>1638</x:v>
      </x:c>
      <x:c r="AJ19" s="60" t="n">
        <x:f>IF(C19="","",IF(AG19=AG18,AJ18,AE18))</x:f>
        <x:v>1386</x:v>
      </x:c>
      <x:c r="AK19" s="60" t="n">
        <x:f>IF(OR(H19="Vundet",H19="Tabt"),1,0)</x:f>
        <x:v>0</x:v>
      </x:c>
      <x:c r="AL19" s="60" t="n"/>
      <x:c r="AM19" s="60" t="n">
        <x:f>MAX($AG$10:$AG$209)</x:f>
        <x:v>4</x:v>
      </x:c>
      <x:c r="AN19" s="60" t="n">
        <x:f>IF(C19="","",IF(AND(C20&lt;&gt;"",C20&lt;&gt;C19),1,0))</x:f>
        <x:v>0</x:v>
      </x:c>
      <x:c r="AO19" s="60" t="n"/>
      <x:c r="AP19" s="60" t="n">
        <x:f>MAX($AG$10:$AG$209)</x:f>
        <x:v>4</x:v>
      </x:c>
      <x:c r="AQ19" t="n">
        <x:f>AG19</x:f>
        <x:v>2</x:v>
      </x:c>
      <x:c r="AR19" t="str">
        <x:f>C19</x:f>
        <x:v>Victor LBS</x:v>
      </x:c>
      <x:c r="AS19" t="str">
        <x:f>E19</x:f>
        <x:v>Jylland</x:v>
      </x:c>
    </x:row>
    <x:row r="20">
      <x:c r="A20" s="60" t="n">
        <x:f>IF(C20="","",COUNTIF($C$10:C20,"&lt;&gt;"))</x:f>
        <x:v>11</x:v>
      </x:c>
      <x:c r="B20" s="122" t="n">
        <x:v>46277</x:v>
      </x:c>
      <x:c r="C20" s="87" t="inlineStr">
        <x:is>
          <x:t xml:space="preserve">Victor LBS</x:t>
        </x:is>
      </x:c>
      <x:c r="D20" s="87" t="inlineStr">
        <x:is>
          <x:t xml:space="preserve">Finale</x:t>
        </x:is>
      </x:c>
      <x:c r="E20" s="87" t="inlineStr">
        <x:is>
          <x:t xml:space="preserve">Jylland</x:t>
        </x:is>
      </x:c>
      <x:c r="F20" s="87" t="inlineStr">
        <x:is>
          <x:t xml:space="preserve">Individuel turnering</x:t>
        </x:is>
      </x:c>
      <x:c r="G20" s="87" t="inlineStr">
        <x:is>
          <x:t xml:space="preserve">Single</x:t>
        </x:is>
      </x:c>
      <x:c r="H20" s="87" t="inlineStr">
        <x:is>
          <x:t xml:space="preserve">Ikke spillet</x:t>
        </x:is>
      </x:c>
      <x:c r="I20" s="87" t="n"/>
      <x:c r="J20" s="87" t="n"/>
      <x:c r="K20" s="87" t="n"/>
      <x:c r="L20" s="87" t="n"/>
      <x:c r="M20" s="87" t="n"/>
      <x:c r="N20" s="87" t="n"/>
      <x:c r="O20" s="62" t="n">
        <x:f>IF(G20="","",IF(G20="Single",AH20,IF(G20="Double",AI20,AJ20)))</x:f>
        <x:v>1712</x:v>
      </x:c>
      <x:c r="P20" s="62" t="str">
        <x:f>IF(OR(G20="",H20="Ikke spillet"),"",IF(G20="Single",O20,IF(J20="","",(O20+J20)/2)))</x:f>
      </x:c>
      <x:c r="Q20" s="62" t="str">
        <x:f>IF(OR(G20="",H20="Ikke spillet"),"",IF(G20="Single",L20,IF(OR(L20="",N20=""),"",(L20+N20)/2)))</x:f>
      </x:c>
      <x:c r="R20" s="62" t="str">
        <x:f>IF(OR(P20="",Q20=""),"",Q20-P20)</x:f>
      </x:c>
      <x:c r="S20" s="62" t="str">
        <x:f>IF(H20="Ikke spillet","",IF(R20="","",IF(ABS(R20)&lt;0.000001,"Lige (0)",VLOOKUP(ABS(R20),'BD Pointtabel'!$A$4:$G$15,2,TRUE))))</x:f>
      </x:c>
      <x:c r="T20" s="62" t="str">
        <x:f>IF(H20="Ikke spillet","Ikke spillet",IF(H20="Planlagt","Planlagt",IF(OR(H20="",P20="",Q20=""),"",IF(H20="Vundet",IF(R20&gt;0,"Uventet sejr","Ventet sejr"),IF(R20&gt;=0,"Ventet nederlag","Uventet nederlag")))))</x:f>
        <x:v>Ikke spillet</x:v>
      </x:c>
      <x:c r="U20" s="62" t="str">
        <x:f>IF(OR(H20="Ikke spillet",H20="Planlagt"),"",IF(OR(G20="",H20="",P20="",Q20=""),"",IF(AND(F20="Ungdomsholdturnering",OR(G20="Double",G20="Mix"),H20="Tabt"),0,IF(H20="Vundet",IF(R20&gt;0,VLOOKUP(ABS(R20),'BD Pointtabel'!$A$4:$G$15,4,TRUE),VLOOKUP(ABS(R20),'BD Pointtabel'!$A$4:$G$15,7,TRUE)),IF(R20&gt;=0,VLOOKUP(ABS(R20),'BD Pointtabel'!$A$4:$G$15,6,TRUE),VLOOKUP(ABS(R20),'BD Pointtabel'!$A$4:$G$15,3,TRUE))))))</x:f>
      </x:c>
      <x:c r="V20" s="62" t="n">
        <x:f>IF(G20="","",SUMIFS($U$10:U20,$AG$10:AG20,AG20,$G$10:G20,G20))</x:f>
        <x:v>31</x:v>
      </x:c>
      <x:c r="W20" s="62" t="str">
        <x:f>IF(C20="","",IF(AN20&lt;&gt;1,"",IF(G20="Single",AA20,IF(G20="Double",AC20,AE20))))</x:f>
      </x:c>
      <x:c r="X20" s="62" t="str">
        <x:f>IF(C20="","",IF(AN20&lt;&gt;1,"",ROUND(((AA20*AB20+AC20*AD20+AE20*AF20)/(AB20+AD20+AF20))+IF((MAX(AA20,AC20,AE20)-(AA20+AC20+AE20-MAX(AA20,AC20,AE20)-MIN(AA20,AC20,AE20)))&lt;'Model &amp; indstillinger'!$E$16,'Model &amp; indstillinger'!$E$18,'Model &amp; indstillinger'!$E$20)*(MAX(AA20,AC20,AE20)-((AA20*AB20+AC20*AD20+AE20*AF20)/(AB20+AD20+AF20))),0)))</x:f>
      </x:c>
      <x:c r="Y20" s="62" t="str">
        <x:f>IF(X20="","",'Model &amp; indstillinger'!$B$4-X20)</x:f>
      </x:c>
      <x:c r="Z20" s="62" t="str">
        <x:f>IF(C20="","",IF(H20="Planlagt","Planlagt – ingen point endnu",IF(H20="Ikke spillet","Ikke spillet – tæller ikke som kamp og giver ingen point",IF(AN20=1,"STÆVNE SLUT – samlet point tilskrives","Frosset pointgrundlag – ingen tilskrivning endnu"))))</x:f>
        <x:v>Ikke spillet – tæller ikke som kamp og giver ingen point</x:v>
      </x:c>
      <x:c r="AA20" s="60" t="n">
        <x:f>IF(C20="","",'Model &amp; indstillinger'!$B$6+SUMIFS($U$10:U20,$G$10:G20,"Single"))</x:f>
        <x:v>1743</x:v>
      </x:c>
      <x:c r="AB20" s="60" t="n">
        <x:f>IF(C20="","",'Model &amp; indstillinger'!$B$7+COUNTIFS($G$10:G20,"Single",$AK$10:AK20,1))</x:f>
        <x:v>49</x:v>
      </x:c>
      <x:c r="AC20" s="60" t="n">
        <x:f>IF(C20="","",'Model &amp; indstillinger'!$B$8+SUMIFS($U$10:U20,$G$10:G20,"Double"))</x:f>
        <x:v>1686</x:v>
      </x:c>
      <x:c r="AD20" s="60" t="n">
        <x:f>IF(C20="","",'Model &amp; indstillinger'!$B$9+COUNTIFS($G$10:G20,"Double",$AK$10:AK20,1))</x:f>
        <x:v>46</x:v>
      </x:c>
      <x:c r="AE20" s="60" t="n">
        <x:f>IF(C20="","",'Model &amp; indstillinger'!$B$10+SUMIFS($U$10:U20,$G$10:G20,"Mix"))</x:f>
        <x:v>1386</x:v>
      </x:c>
      <x:c r="AF20" s="60" t="n">
        <x:f>IF(C20="","",'Model &amp; indstillinger'!$B$11+COUNTIFS($G$10:G20,"Mix",$AK$10:AK20,1))</x:f>
        <x:v>5</x:v>
      </x:c>
      <x:c r="AG20" s="60" t="n">
        <x:f>IF(C20="","",IF(C20=C19,AG19,AG19+1))</x:f>
        <x:v>2</x:v>
      </x:c>
      <x:c r="AH20" s="60" t="n">
        <x:f>IF(C20="","",IF(AG20=AG19,AH19,AA19))</x:f>
        <x:v>1712</x:v>
      </x:c>
      <x:c r="AI20" s="60" t="n">
        <x:f>IF(C20="","",IF(AG20=AG19,AI19,AC19))</x:f>
        <x:v>1638</x:v>
      </x:c>
      <x:c r="AJ20" s="60" t="n">
        <x:f>IF(C20="","",IF(AG20=AG19,AJ19,AE19))</x:f>
        <x:v>1386</x:v>
      </x:c>
      <x:c r="AK20" s="60" t="n">
        <x:f>IF(OR(H20="Vundet",H20="Tabt"),1,0)</x:f>
        <x:v>0</x:v>
      </x:c>
      <x:c r="AL20" s="60" t="n"/>
      <x:c r="AM20" s="60" t="n">
        <x:f>MAX($AG$10:$AG$209)</x:f>
        <x:v>4</x:v>
      </x:c>
      <x:c r="AN20" s="60" t="n">
        <x:f>IF(C20="","",IF(AND(C21&lt;&gt;"",C21&lt;&gt;C20),1,0))</x:f>
        <x:v>0</x:v>
      </x:c>
      <x:c r="AO20" s="60" t="n"/>
      <x:c r="AP20" s="60" t="n">
        <x:f>MAX($AG$10:$AG$209)</x:f>
        <x:v>4</x:v>
      </x:c>
      <x:c r="AQ20" t="n">
        <x:f>AG20</x:f>
        <x:v>2</x:v>
      </x:c>
      <x:c r="AR20" t="str">
        <x:f>C20</x:f>
        <x:v>Victor LBS</x:v>
      </x:c>
      <x:c r="AS20" t="str">
        <x:f>E20</x:f>
        <x:v>Jylland</x:v>
      </x:c>
    </x:row>
    <x:row r="21">
      <x:c r="A21" s="60" t="n">
        <x:f>IF(C21="","",COUNTIF($C$10:C21,"&lt;&gt;"))</x:f>
        <x:v>12</x:v>
      </x:c>
      <x:c r="B21" s="122" t="n">
        <x:v>46277</x:v>
      </x:c>
      <x:c r="C21" s="87" t="inlineStr">
        <x:is>
          <x:t xml:space="preserve">Victor LBS</x:t>
        </x:is>
      </x:c>
      <x:c r="D21" s="87" t="inlineStr">
        <x:is>
          <x:t xml:space="preserve">Kvartfinale</x:t>
        </x:is>
      </x:c>
      <x:c r="E21" s="87" t="inlineStr">
        <x:is>
          <x:t xml:space="preserve">Jylland</x:t>
        </x:is>
      </x:c>
      <x:c r="F21" s="87" t="inlineStr">
        <x:is>
          <x:t xml:space="preserve">Individuel turnering</x:t>
        </x:is>
      </x:c>
      <x:c r="G21" s="87" t="inlineStr">
        <x:is>
          <x:t xml:space="preserve">Double</x:t>
        </x:is>
      </x:c>
      <x:c r="H21" s="87" t="inlineStr">
        <x:is>
          <x:t xml:space="preserve">Vundet</x:t>
        </x:is>
      </x:c>
      <x:c r="I21" s="87" t="inlineStr">
        <x:is>
          <x:t xml:space="preserve">Mads Emil Ginnerup</x:t>
        </x:is>
      </x:c>
      <x:c r="J21" s="87" t="n">
        <x:v>1661</x:v>
      </x:c>
      <x:c r="K21" s="87" t="inlineStr">
        <x:is>
          <x:t xml:space="preserve">Lauge Juul Hornsgaard</x:t>
        </x:is>
      </x:c>
      <x:c r="L21" s="87" t="n">
        <x:v>1784</x:v>
      </x:c>
      <x:c r="M21" s="87" t="inlineStr">
        <x:is>
          <x:t xml:space="preserve">Nor Worsøe</x:t>
        </x:is>
      </x:c>
      <x:c r="N21" s="87" t="n">
        <x:v>1545</x:v>
      </x:c>
      <x:c r="O21" s="62" t="n">
        <x:f>IF(G21="","",IF(G21="Single",AH21,IF(G21="Double",AI21,AJ21)))</x:f>
        <x:v>1638</x:v>
      </x:c>
      <x:c r="P21" s="62" t="n">
        <x:f>IF(OR(G21="",H21="Ikke spillet"),"",IF(G21="Single",O21,IF(J21="","",(O21+J21)/2)))</x:f>
        <x:v>1649.5</x:v>
      </x:c>
      <x:c r="Q21" s="62" t="n">
        <x:f>IF(OR(G21="",H21="Ikke spillet"),"",IF(G21="Single",L21,IF(OR(L21="",N21=""),"",(L21+N21)/2)))</x:f>
        <x:v>1664.5</x:v>
      </x:c>
      <x:c r="R21" s="62" t="n">
        <x:f>IF(OR(P21="",Q21=""),"",Q21-P21)</x:f>
        <x:v>15</x:v>
      </x:c>
      <x:c r="S21" s="62" t="str">
        <x:f>IF(H21="Ikke spillet","",IF(R21="","",IF(ABS(R21)&lt;0.000001,"Lige (0)",VLOOKUP(ABS(R21),'BD Pointtabel'!$A$4:$G$15,2,TRUE))))</x:f>
        <x:v>01-24</x:v>
      </x:c>
      <x:c r="T21" s="62" t="str">
        <x:f>IF(H21="Ikke spillet","Ikke spillet",IF(H21="Planlagt","Planlagt",IF(OR(H21="",P21="",Q21=""),"",IF(H21="Vundet",IF(R21&gt;0,"Uventet sejr","Ventet sejr"),IF(R21&gt;=0,"Ventet nederlag","Uventet nederlag")))))</x:f>
        <x:v>Uventet sejr</x:v>
      </x:c>
      <x:c r="U21" s="62" t="n">
        <x:f>IF(OR(H21="Ikke spillet",H21="Planlagt"),"",IF(OR(G21="",H21="",P21="",Q21=""),"",IF(AND(F21="Ungdomsholdturnering",OR(G21="Double",G21="Mix"),H21="Tabt"),0,IF(H21="Vundet",IF(R21&gt;0,VLOOKUP(ABS(R21),'BD Pointtabel'!$A$4:$G$15,4,TRUE),VLOOKUP(ABS(R21),'BD Pointtabel'!$A$4:$G$15,7,TRUE)),IF(R21&gt;=0,VLOOKUP(ABS(R21),'BD Pointtabel'!$A$4:$G$15,6,TRUE),VLOOKUP(ABS(R21),'BD Pointtabel'!$A$4:$G$15,3,TRUE))))))</x:f>
        <x:v>14</x:v>
      </x:c>
      <x:c r="V21" s="62" t="n">
        <x:f>IF(G21="","",SUMIFS($U$10:U21,$AG$10:AG21,AG21,$G$10:G21,G21))</x:f>
        <x:v>62</x:v>
      </x:c>
      <x:c r="W21" s="62" t="str">
        <x:f>IF(C21="","",IF(AN21&lt;&gt;1,"",IF(G21="Single",AA21,IF(G21="Double",AC21,AE21))))</x:f>
      </x:c>
      <x:c r="X21" s="62" t="str">
        <x:f>IF(C21="","",IF(AN21&lt;&gt;1,"",ROUND(((AA21*AB21+AC21*AD21+AE21*AF21)/(AB21+AD21+AF21))+IF((MAX(AA21,AC21,AE21)-(AA21+AC21+AE21-MAX(AA21,AC21,AE21)-MIN(AA21,AC21,AE21)))&lt;'Model &amp; indstillinger'!$E$16,'Model &amp; indstillinger'!$E$18,'Model &amp; indstillinger'!$E$20)*(MAX(AA21,AC21,AE21)-((AA21*AB21+AC21*AD21+AE21*AF21)/(AB21+AD21+AF21))),0)))</x:f>
      </x:c>
      <x:c r="Y21" s="62" t="str">
        <x:f>IF(X21="","",'Model &amp; indstillinger'!$B$4-X21)</x:f>
      </x:c>
      <x:c r="Z21" s="62" t="str">
        <x:f>IF(C21="","",IF(H21="Planlagt","Planlagt – ingen point endnu",IF(H21="Ikke spillet","Ikke spillet – tæller ikke som kamp og giver ingen point",IF(AN21=1,"STÆVNE SLUT – samlet point tilskrives","Frosset pointgrundlag – ingen tilskrivning endnu"))))</x:f>
        <x:v>Frosset pointgrundlag – ingen tilskrivning endnu</x:v>
      </x:c>
      <x:c r="AA21" s="60" t="n">
        <x:f>IF(C21="","",'Model &amp; indstillinger'!$B$6+SUMIFS($U$10:U21,$G$10:G21,"Single"))</x:f>
        <x:v>1743</x:v>
      </x:c>
      <x:c r="AB21" s="60" t="n">
        <x:f>IF(C21="","",'Model &amp; indstillinger'!$B$7+COUNTIFS($G$10:G21,"Single",$AK$10:AK21,1))</x:f>
        <x:v>49</x:v>
      </x:c>
      <x:c r="AC21" s="60" t="n">
        <x:f>IF(C21="","",'Model &amp; indstillinger'!$B$8+SUMIFS($U$10:U21,$G$10:G21,"Double"))</x:f>
        <x:v>1700</x:v>
      </x:c>
      <x:c r="AD21" s="60" t="n">
        <x:f>IF(C21="","",'Model &amp; indstillinger'!$B$9+COUNTIFS($G$10:G21,"Double",$AK$10:AK21,1))</x:f>
        <x:v>47</x:v>
      </x:c>
      <x:c r="AE21" s="60" t="n">
        <x:f>IF(C21="","",'Model &amp; indstillinger'!$B$10+SUMIFS($U$10:U21,$G$10:G21,"Mix"))</x:f>
        <x:v>1386</x:v>
      </x:c>
      <x:c r="AF21" s="60" t="n">
        <x:f>IF(C21="","",'Model &amp; indstillinger'!$B$11+COUNTIFS($G$10:G21,"Mix",$AK$10:AK21,1))</x:f>
        <x:v>5</x:v>
      </x:c>
      <x:c r="AG21" s="60" t="n">
        <x:f>IF(C21="","",IF(C21=C20,AG20,AG20+1))</x:f>
        <x:v>2</x:v>
      </x:c>
      <x:c r="AH21" s="60" t="n">
        <x:f>IF(C21="","",IF(AG21=AG20,AH20,AA20))</x:f>
        <x:v>1712</x:v>
      </x:c>
      <x:c r="AI21" s="60" t="n">
        <x:f>IF(C21="","",IF(AG21=AG20,AI20,AC20))</x:f>
        <x:v>1638</x:v>
      </x:c>
      <x:c r="AJ21" s="60" t="n">
        <x:f>IF(C21="","",IF(AG21=AG20,AJ20,AE20))</x:f>
        <x:v>1386</x:v>
      </x:c>
      <x:c r="AK21" s="60" t="n">
        <x:f>IF(OR(H21="Vundet",H21="Tabt"),1,0)</x:f>
        <x:v>1</x:v>
      </x:c>
      <x:c r="AL21" s="60" t="n"/>
      <x:c r="AM21" s="60" t="n">
        <x:f>MAX($AG$10:$AG$209)</x:f>
        <x:v>4</x:v>
      </x:c>
      <x:c r="AN21" s="60" t="n">
        <x:f>IF(C21="","",IF(AND(C22&lt;&gt;"",C22&lt;&gt;C21),1,0))</x:f>
        <x:v>0</x:v>
      </x:c>
      <x:c r="AO21" s="60" t="n"/>
      <x:c r="AP21" s="60" t="n">
        <x:f>MAX($AG$10:$AG$209)</x:f>
        <x:v>4</x:v>
      </x:c>
      <x:c r="AQ21" t="n">
        <x:f>AG21</x:f>
        <x:v>2</x:v>
      </x:c>
      <x:c r="AR21" t="str">
        <x:f>C21</x:f>
        <x:v>Victor LBS</x:v>
      </x:c>
      <x:c r="AS21" t="str">
        <x:f>E21</x:f>
        <x:v>Jylland</x:v>
      </x:c>
    </x:row>
    <x:row r="22">
      <x:c r="A22" s="60" t="n">
        <x:f>IF(C22="","",COUNTIF($C$10:C22,"&lt;&gt;"))</x:f>
        <x:v>13</x:v>
      </x:c>
      <x:c r="B22" s="122" t="n">
        <x:v>46277</x:v>
      </x:c>
      <x:c r="C22" s="87" t="inlineStr">
        <x:is>
          <x:t xml:space="preserve">Victor LBS</x:t>
        </x:is>
      </x:c>
      <x:c r="D22" s="87" t="inlineStr">
        <x:is>
          <x:t xml:space="preserve">Semifinale</x:t>
        </x:is>
      </x:c>
      <x:c r="E22" s="87" t="inlineStr">
        <x:is>
          <x:t xml:space="preserve">Jylland</x:t>
        </x:is>
      </x:c>
      <x:c r="F22" s="87" t="inlineStr">
        <x:is>
          <x:t xml:space="preserve">Individuel turnering</x:t>
        </x:is>
      </x:c>
      <x:c r="G22" s="87" t="inlineStr">
        <x:is>
          <x:t xml:space="preserve">Double</x:t>
        </x:is>
      </x:c>
      <x:c r="H22" s="87" t="inlineStr">
        <x:is>
          <x:t xml:space="preserve">Tabt</x:t>
        </x:is>
      </x:c>
      <x:c r="I22" s="87" t="inlineStr">
        <x:is>
          <x:t xml:space="preserve">Mads Emil Ginnerup</x:t>
        </x:is>
      </x:c>
      <x:c r="J22" s="87" t="n">
        <x:v>1661</x:v>
      </x:c>
      <x:c r="K22" s="87" t="inlineStr">
        <x:is>
          <x:t xml:space="preserve">Lucas Lykke</x:t>
        </x:is>
      </x:c>
      <x:c r="L22" s="87" t="n">
        <x:v>1636</x:v>
      </x:c>
      <x:c r="M22" s="87" t="inlineStr">
        <x:is>
          <x:t xml:space="preserve">Niclas Wiegers Jensen</x:t>
        </x:is>
      </x:c>
      <x:c r="N22" s="87" t="n">
        <x:v>1772</x:v>
      </x:c>
      <x:c r="O22" s="62" t="n">
        <x:f>IF(G22="","",IF(G22="Single",AH22,IF(G22="Double",AI22,AJ22)))</x:f>
        <x:v>1638</x:v>
      </x:c>
      <x:c r="P22" s="62" t="n">
        <x:f>IF(OR(G22="",H22="Ikke spillet"),"",IF(G22="Single",O22,IF(J22="","",(O22+J22)/2)))</x:f>
        <x:v>1649.5</x:v>
      </x:c>
      <x:c r="Q22" s="62" t="n">
        <x:f>IF(OR(G22="",H22="Ikke spillet"),"",IF(G22="Single",L22,IF(OR(L22="",N22=""),"",(L22+N22)/2)))</x:f>
        <x:v>1704</x:v>
      </x:c>
      <x:c r="R22" s="62" t="n">
        <x:f>IF(OR(P22="",Q22=""),"",Q22-P22)</x:f>
        <x:v>54.5</x:v>
      </x:c>
      <x:c r="S22" s="62" t="str">
        <x:f>IF(H22="Ikke spillet","",IF(R22="","",IF(ABS(R22)&lt;0.000001,"Lige (0)",VLOOKUP(ABS(R22),'BD Pointtabel'!$A$4:$G$15,2,TRUE))))</x:f>
        <x:v>50-74</x:v>
      </x:c>
      <x:c r="T22" s="62" t="str">
        <x:f>IF(H22="Ikke spillet","Ikke spillet",IF(H22="Planlagt","Planlagt",IF(OR(H22="",P22="",Q22=""),"",IF(H22="Vundet",IF(R22&gt;0,"Uventet sejr","Ventet sejr"),IF(R22&gt;=0,"Ventet nederlag","Uventet nederlag")))))</x:f>
        <x:v>Ventet nederlag</x:v>
      </x:c>
      <x:c r="U22" s="62" t="n">
        <x:f>IF(OR(H22="Ikke spillet",H22="Planlagt"),"",IF(OR(G22="",H22="",P22="",Q22=""),"",IF(AND(F22="Ungdomsholdturnering",OR(G22="Double",G22="Mix"),H22="Tabt"),0,IF(H22="Vundet",IF(R22&gt;0,VLOOKUP(ABS(R22),'BD Pointtabel'!$A$4:$G$15,4,TRUE),VLOOKUP(ABS(R22),'BD Pointtabel'!$A$4:$G$15,7,TRUE)),IF(R22&gt;=0,VLOOKUP(ABS(R22),'BD Pointtabel'!$A$4:$G$15,6,TRUE),VLOOKUP(ABS(R22),'BD Pointtabel'!$A$4:$G$15,3,TRUE))))))</x:f>
        <x:v>-5</x:v>
      </x:c>
      <x:c r="V22" s="62" t="n">
        <x:f>IF(G22="","",SUMIFS($U$10:U22,$AG$10:AG22,AG22,$G$10:G22,G22))</x:f>
        <x:v>57</x:v>
      </x:c>
      <x:c r="W22" s="62" t="n">
        <x:f>IF(C22="","",IF(AN22&lt;&gt;1,"",IF(G22="Single",AA22,IF(G22="Double",AC22,AE22))))</x:f>
        <x:v>1695</x:v>
      </x:c>
      <x:c r="X22" s="62" t="n">
        <x:f>IF(C22="","",IF(AN22&lt;&gt;1,"",ROUND(((AA22*AB22+AC22*AD22+AE22*AF22)/(AB22+AD22+AF22))+IF((MAX(AA22,AC22,AE22)-(AA22+AC22+AE22-MAX(AA22,AC22,AE22)-MIN(AA22,AC22,AE22)))&lt;'Model &amp; indstillinger'!$E$16,'Model &amp; indstillinger'!$E$18,'Model &amp; indstillinger'!$E$20)*(MAX(AA22,AC22,AE22)-((AA22*AB22+AC22*AD22+AE22*AF22)/(AB22+AD22+AF22))),0)))</x:f>
        <x:v>1714</x:v>
      </x:c>
      <x:c r="Y22" s="62" t="n">
        <x:f>IF(X22="","",'Model &amp; indstillinger'!$B$4-X22)</x:f>
        <x:v>136</x:v>
      </x:c>
      <x:c r="Z22" s="62" t="str">
        <x:f>IF(C22="","",IF(H22="Planlagt","Planlagt – ingen point endnu",IF(H22="Ikke spillet","Ikke spillet – tæller ikke som kamp og giver ingen point",IF(AN22=1,"STÆVNE SLUT – samlet point tilskrives","Frosset pointgrundlag – ingen tilskrivning endnu"))))</x:f>
        <x:v>STÆVNE SLUT – samlet point tilskrives</x:v>
      </x:c>
      <x:c r="AA22" s="60" t="n">
        <x:f>IF(C22="","",'Model &amp; indstillinger'!$B$6+SUMIFS($U$10:U22,$G$10:G22,"Single"))</x:f>
        <x:v>1743</x:v>
      </x:c>
      <x:c r="AB22" s="60" t="n">
        <x:f>IF(C22="","",'Model &amp; indstillinger'!$B$7+COUNTIFS($G$10:G22,"Single",$AK$10:AK22,1))</x:f>
        <x:v>49</x:v>
      </x:c>
      <x:c r="AC22" s="60" t="n">
        <x:f>IF(C22="","",'Model &amp; indstillinger'!$B$8+SUMIFS($U$10:U22,$G$10:G22,"Double"))</x:f>
        <x:v>1695</x:v>
      </x:c>
      <x:c r="AD22" s="60" t="n">
        <x:f>IF(C22="","",'Model &amp; indstillinger'!$B$9+COUNTIFS($G$10:G22,"Double",$AK$10:AK22,1))</x:f>
        <x:v>48</x:v>
      </x:c>
      <x:c r="AE22" s="60" t="n">
        <x:f>IF(C22="","",'Model &amp; indstillinger'!$B$10+SUMIFS($U$10:U22,$G$10:G22,"Mix"))</x:f>
        <x:v>1386</x:v>
      </x:c>
      <x:c r="AF22" s="60" t="n">
        <x:f>IF(C22="","",'Model &amp; indstillinger'!$B$11+COUNTIFS($G$10:G22,"Mix",$AK$10:AK22,1))</x:f>
        <x:v>5</x:v>
      </x:c>
      <x:c r="AG22" s="60" t="n">
        <x:f>IF(C22="","",IF(C22=C21,AG21,AG21+1))</x:f>
        <x:v>2</x:v>
      </x:c>
      <x:c r="AH22" s="60" t="n">
        <x:f>IF(C22="","",IF(AG22=AG21,AH21,AA21))</x:f>
        <x:v>1712</x:v>
      </x:c>
      <x:c r="AI22" s="60" t="n">
        <x:f>IF(C22="","",IF(AG22=AG21,AI21,AC21))</x:f>
        <x:v>1638</x:v>
      </x:c>
      <x:c r="AJ22" s="60" t="n">
        <x:f>IF(C22="","",IF(AG22=AG21,AJ21,AE21))</x:f>
        <x:v>1386</x:v>
      </x:c>
      <x:c r="AK22" s="60" t="n">
        <x:f>IF(OR(H22="Vundet",H22="Tabt"),1,0)</x:f>
        <x:v>1</x:v>
      </x:c>
      <x:c r="AL22" s="60" t="n"/>
      <x:c r="AM22" s="60" t="n">
        <x:f>MAX($AG$10:$AG$209)</x:f>
        <x:v>4</x:v>
      </x:c>
      <x:c r="AN22" s="60" t="n">
        <x:f>IF(C22="","",IF(AND(C23&lt;&gt;"",C23&lt;&gt;C22),1,0))</x:f>
        <x:v>1</x:v>
      </x:c>
      <x:c r="AO22" s="60" t="n"/>
      <x:c r="AP22" s="60" t="n">
        <x:f>MAX($AG$10:$AG$209)</x:f>
        <x:v>4</x:v>
      </x:c>
      <x:c r="AQ22" t="n">
        <x:f>AG22</x:f>
        <x:v>2</x:v>
      </x:c>
      <x:c r="AR22" t="str">
        <x:f>C22</x:f>
        <x:v>Victor LBS</x:v>
      </x:c>
      <x:c r="AS22" t="str">
        <x:f>E22</x:f>
        <x:v>Jylland</x:v>
      </x:c>
    </x:row>
    <x:row r="23">
      <x:c r="A23" s="60" t="n">
        <x:f>IF(C23="","",COUNTIF($C$10:C23,"&lt;&gt;"))</x:f>
        <x:v>14</x:v>
      </x:c>
      <x:c r="B23" s="122" t="n">
        <x:v>46284</x:v>
      </x:c>
      <x:c r="C23" s="87" t="inlineStr">
        <x:is>
          <x:t xml:space="preserve">Slangerup</x:t>
        </x:is>
      </x:c>
      <x:c r="D23" s="87" t="inlineStr">
        <x:is>
          <x:t xml:space="preserve">Pulje</x:t>
        </x:is>
      </x:c>
      <x:c r="E23" s="87" t="inlineStr">
        <x:is>
          <x:t xml:space="preserve">Sjælland</x:t>
        </x:is>
      </x:c>
      <x:c r="F23" s="87" t="inlineStr">
        <x:is>
          <x:t xml:space="preserve">Individuel turnering</x:t>
        </x:is>
      </x:c>
      <x:c r="G23" s="87" t="inlineStr">
        <x:is>
          <x:t xml:space="preserve">Single</x:t>
        </x:is>
      </x:c>
      <x:c r="H23" s="87" t="inlineStr">
        <x:is>
          <x:t xml:space="preserve">Vundet</x:t>
        </x:is>
      </x:c>
      <x:c r="I23" s="87" t="n"/>
      <x:c r="J23" s="87" t="n"/>
      <x:c r="K23" s="87" t="inlineStr">
        <x:is>
          <x:t xml:space="preserve">Sebastian Lundberg</x:t>
        </x:is>
      </x:c>
      <x:c r="L23" s="87" t="n">
        <x:v>1830</x:v>
      </x:c>
      <x:c r="M23" s="87" t="n"/>
      <x:c r="N23" s="87" t="n"/>
      <x:c r="O23" s="62" t="n">
        <x:f>IF(G23="","",IF(G23="Single",AH23,IF(G23="Double",AI23,AJ23)))</x:f>
        <x:v>1743</x:v>
      </x:c>
      <x:c r="P23" s="62" t="n">
        <x:f>IF(OR(G23="",H23="Ikke spillet"),"",IF(G23="Single",O23,IF(J23="","",(O23+J23)/2)))</x:f>
        <x:v>1743</x:v>
      </x:c>
      <x:c r="Q23" s="62" t="n">
        <x:f>IF(OR(G23="",H23="Ikke spillet"),"",IF(G23="Single",L23,IF(OR(L23="",N23=""),"",(L23+N23)/2)))</x:f>
        <x:v>1830</x:v>
      </x:c>
      <x:c r="R23" s="62" t="n">
        <x:f>IF(OR(P23="",Q23=""),"",Q23-P23)</x:f>
        <x:v>87</x:v>
      </x:c>
      <x:c r="S23" s="62" t="str">
        <x:f>IF(H23="Ikke spillet","",IF(R23="","",IF(ABS(R23)&lt;0.000001,"Lige (0)",VLOOKUP(ABS(R23),'BD Pointtabel'!$A$4:$G$15,2,TRUE))))</x:f>
        <x:v>75-99</x:v>
      </x:c>
      <x:c r="T23" s="62" t="str">
        <x:f>IF(H23="Ikke spillet","Ikke spillet",IF(H23="Planlagt","Planlagt",IF(OR(H23="",P23="",Q23=""),"",IF(H23="Vundet",IF(R23&gt;0,"Uventet sejr","Ventet sejr"),IF(R23&gt;=0,"Ventet nederlag","Uventet nederlag")))))</x:f>
        <x:v>Uventet sejr</x:v>
      </x:c>
      <x:c r="U23" s="62" t="n">
        <x:f>IF(OR(H23="Ikke spillet",H23="Planlagt"),"",IF(OR(G23="",H23="",P23="",Q23=""),"",IF(AND(F23="Ungdomsholdturnering",OR(G23="Double",G23="Mix"),H23="Tabt"),0,IF(H23="Vundet",IF(R23&gt;0,VLOOKUP(ABS(R23),'BD Pointtabel'!$A$4:$G$15,4,TRUE),VLOOKUP(ABS(R23),'BD Pointtabel'!$A$4:$G$15,7,TRUE)),IF(R23&gt;=0,VLOOKUP(ABS(R23),'BD Pointtabel'!$A$4:$G$15,6,TRUE),VLOOKUP(ABS(R23),'BD Pointtabel'!$A$4:$G$15,3,TRUE))))))</x:f>
        <x:v>20</x:v>
      </x:c>
      <x:c r="V23" s="62" t="n">
        <x:f>IF(G23="","",SUMIFS($U$10:U23,$AG$10:AG23,AG23,$G$10:G23,G23))</x:f>
        <x:v>20</x:v>
      </x:c>
      <x:c r="W23" s="62" t="str">
        <x:f>IF(C23="","",IF(AN23&lt;&gt;1,"",IF(G23="Single",AA23,IF(G23="Double",AC23,AE23))))</x:f>
      </x:c>
      <x:c r="X23" s="62" t="str">
        <x:f>IF(C23="","",IF(AN23&lt;&gt;1,"",ROUND(((AA23*AB23+AC23*AD23+AE23*AF23)/(AB23+AD23+AF23))+IF((MAX(AA23,AC23,AE23)-(AA23+AC23+AE23-MAX(AA23,AC23,AE23)-MIN(AA23,AC23,AE23)))&lt;'Model &amp; indstillinger'!$E$16,'Model &amp; indstillinger'!$E$18,'Model &amp; indstillinger'!$E$20)*(MAX(AA23,AC23,AE23)-((AA23*AB23+AC23*AD23+AE23*AF23)/(AB23+AD23+AF23))),0)))</x:f>
      </x:c>
      <x:c r="Y23" s="62" t="str">
        <x:f>IF(X23="","",'Model &amp; indstillinger'!$B$4-X23)</x:f>
      </x:c>
      <x:c r="Z23" s="62" t="str">
        <x:f>IF(C23="","",IF(H23="Planlagt","Planlagt – ingen point endnu",IF(H23="Ikke spillet","Ikke spillet – tæller ikke som kamp og giver ingen point",IF(AN23=1,"STÆVNE SLUT – samlet point tilskrives","Frosset pointgrundlag – ingen tilskrivning endnu"))))</x:f>
        <x:v>Frosset pointgrundlag – ingen tilskrivning endnu</x:v>
      </x:c>
      <x:c r="AA23" s="60" t="n">
        <x:f>IF(C23="","",'Model &amp; indstillinger'!$B$6+SUMIFS($U$10:U23,$G$10:G23,"Single"))</x:f>
        <x:v>1763</x:v>
      </x:c>
      <x:c r="AB23" s="60" t="n">
        <x:f>IF(C23="","",'Model &amp; indstillinger'!$B$7+COUNTIFS($G$10:G23,"Single",$AK$10:AK23,1))</x:f>
        <x:v>50</x:v>
      </x:c>
      <x:c r="AC23" s="60" t="n">
        <x:f>IF(C23="","",'Model &amp; indstillinger'!$B$8+SUMIFS($U$10:U23,$G$10:G23,"Double"))</x:f>
        <x:v>1695</x:v>
      </x:c>
      <x:c r="AD23" s="60" t="n">
        <x:f>IF(C23="","",'Model &amp; indstillinger'!$B$9+COUNTIFS($G$10:G23,"Double",$AK$10:AK23,1))</x:f>
        <x:v>48</x:v>
      </x:c>
      <x:c r="AE23" s="60" t="n">
        <x:f>IF(C23="","",'Model &amp; indstillinger'!$B$10+SUMIFS($U$10:U23,$G$10:G23,"Mix"))</x:f>
        <x:v>1386</x:v>
      </x:c>
      <x:c r="AF23" s="60" t="n">
        <x:f>IF(C23="","",'Model &amp; indstillinger'!$B$11+COUNTIFS($G$10:G23,"Mix",$AK$10:AK23,1))</x:f>
        <x:v>5</x:v>
      </x:c>
      <x:c r="AG23" s="60" t="n">
        <x:f>IF(C23="","",IF(C23=C22,AG22,AG22+1))</x:f>
        <x:v>3</x:v>
      </x:c>
      <x:c r="AH23" s="60" t="n">
        <x:f>IF(C23="","",IF(AG23=AG22,AH22,AA22))</x:f>
        <x:v>1743</x:v>
      </x:c>
      <x:c r="AI23" s="60" t="n">
        <x:f>IF(C23="","",IF(AG23=AG22,AI22,AC22))</x:f>
        <x:v>1695</x:v>
      </x:c>
      <x:c r="AJ23" s="60" t="n">
        <x:f>IF(C23="","",IF(AG23=AG22,AJ22,AE22))</x:f>
        <x:v>1386</x:v>
      </x:c>
      <x:c r="AK23" s="60" t="n">
        <x:f>IF(OR(H23="Vundet",H23="Tabt"),1,0)</x:f>
        <x:v>1</x:v>
      </x:c>
      <x:c r="AL23" s="60" t="n"/>
      <x:c r="AM23" s="60" t="n">
        <x:f>MAX($AG$10:$AG$209)</x:f>
        <x:v>4</x:v>
      </x:c>
      <x:c r="AN23" s="60" t="n">
        <x:f>IF(C23="","",IF(AND(C24&lt;&gt;"",C24&lt;&gt;C23),1,0))</x:f>
        <x:v>0</x:v>
      </x:c>
      <x:c r="AO23" s="60" t="n"/>
      <x:c r="AP23" s="60" t="n">
        <x:f>MAX($AG$10:$AG$209)</x:f>
        <x:v>4</x:v>
      </x:c>
      <x:c r="AQ23" t="n">
        <x:f>AG23</x:f>
        <x:v>3</x:v>
      </x:c>
      <x:c r="AR23" t="str">
        <x:f>C23</x:f>
        <x:v>Slangerup</x:v>
      </x:c>
      <x:c r="AS23" t="str">
        <x:f>E23</x:f>
        <x:v>Sjælland</x:v>
      </x:c>
    </x:row>
    <x:row r="24">
      <x:c r="A24" s="60" t="n">
        <x:f>IF(C24="","",COUNTIF($C$10:C24,"&lt;&gt;"))</x:f>
        <x:v>15</x:v>
      </x:c>
      <x:c r="B24" s="122" t="n">
        <x:v>46284</x:v>
      </x:c>
      <x:c r="C24" s="87" t="inlineStr">
        <x:is>
          <x:t xml:space="preserve">Slangerup</x:t>
        </x:is>
      </x:c>
      <x:c r="D24" s="87" t="inlineStr">
        <x:is>
          <x:t xml:space="preserve">Pulje</x:t>
        </x:is>
      </x:c>
      <x:c r="E24" s="87" t="inlineStr">
        <x:is>
          <x:t xml:space="preserve">Sjælland</x:t>
        </x:is>
      </x:c>
      <x:c r="F24" s="87" t="inlineStr">
        <x:is>
          <x:t xml:space="preserve">Individuel turnering</x:t>
        </x:is>
      </x:c>
      <x:c r="G24" s="87" t="inlineStr">
        <x:is>
          <x:t xml:space="preserve">Single</x:t>
        </x:is>
      </x:c>
      <x:c r="H24" s="87" t="inlineStr">
        <x:is>
          <x:t xml:space="preserve">Vundet</x:t>
        </x:is>
      </x:c>
      <x:c r="I24" s="87" t="n"/>
      <x:c r="J24" s="87" t="n"/>
      <x:c r="K24" s="87" t="inlineStr">
        <x:is>
          <x:t xml:space="preserve">David Stenitz</x:t>
        </x:is>
      </x:c>
      <x:c r="L24" s="87" t="n">
        <x:v>1672</x:v>
      </x:c>
      <x:c r="M24" s="87" t="n"/>
      <x:c r="N24" s="87" t="n"/>
      <x:c r="O24" s="62" t="n">
        <x:f>IF(G24="","",IF(G24="Single",AH24,IF(G24="Double",AI24,AJ24)))</x:f>
        <x:v>1743</x:v>
      </x:c>
      <x:c r="P24" s="62" t="n">
        <x:f>IF(OR(G24="",H24="Ikke spillet"),"",IF(G24="Single",O24,IF(J24="","",(O24+J24)/2)))</x:f>
        <x:v>1743</x:v>
      </x:c>
      <x:c r="Q24" s="62" t="n">
        <x:f>IF(OR(G24="",H24="Ikke spillet"),"",IF(G24="Single",L24,IF(OR(L24="",N24=""),"",(L24+N24)/2)))</x:f>
        <x:v>1672</x:v>
      </x:c>
      <x:c r="R24" s="62" t="n">
        <x:f>IF(OR(P24="",Q24=""),"",Q24-P24)</x:f>
        <x:v>-71</x:v>
      </x:c>
      <x:c r="S24" s="62" t="str">
        <x:f>IF(H24="Ikke spillet","",IF(R24="","",IF(ABS(R24)&lt;0.000001,"Lige (0)",VLOOKUP(ABS(R24),'BD Pointtabel'!$A$4:$G$15,2,TRUE))))</x:f>
        <x:v>50-74</x:v>
      </x:c>
      <x:c r="T24" s="62" t="str">
        <x:f>IF(H24="Ikke spillet","Ikke spillet",IF(H24="Planlagt","Planlagt",IF(OR(H24="",P24="",Q24=""),"",IF(H24="Vundet",IF(R24&gt;0,"Uventet sejr","Ventet sejr"),IF(R24&gt;=0,"Ventet nederlag","Uventet nederlag")))))</x:f>
        <x:v>Ventet sejr</x:v>
      </x:c>
      <x:c r="U24" s="62" t="n">
        <x:f>IF(OR(H24="Ikke spillet",H24="Planlagt"),"",IF(OR(G24="",H24="",P24="",Q24=""),"",IF(AND(F24="Ungdomsholdturnering",OR(G24="Double",G24="Mix"),H24="Tabt"),0,IF(H24="Vundet",IF(R24&gt;0,VLOOKUP(ABS(R24),'BD Pointtabel'!$A$4:$G$15,4,TRUE),VLOOKUP(ABS(R24),'BD Pointtabel'!$A$4:$G$15,7,TRUE)),IF(R24&gt;=0,VLOOKUP(ABS(R24),'BD Pointtabel'!$A$4:$G$15,6,TRUE),VLOOKUP(ABS(R24),'BD Pointtabel'!$A$4:$G$15,3,TRUE))))))</x:f>
        <x:v>12</x:v>
      </x:c>
      <x:c r="V24" s="62" t="n">
        <x:f>IF(G24="","",SUMIFS($U$10:U24,$AG$10:AG24,AG24,$G$10:G24,G24))</x:f>
        <x:v>32</x:v>
      </x:c>
      <x:c r="W24" s="62" t="str">
        <x:f>IF(C24="","",IF(AN24&lt;&gt;1,"",IF(G24="Single",AA24,IF(G24="Double",AC24,AE24))))</x:f>
      </x:c>
      <x:c r="X24" s="62" t="str">
        <x:f>IF(C24="","",IF(AN24&lt;&gt;1,"",ROUND(((AA24*AB24+AC24*AD24+AE24*AF24)/(AB24+AD24+AF24))+IF((MAX(AA24,AC24,AE24)-(AA24+AC24+AE24-MAX(AA24,AC24,AE24)-MIN(AA24,AC24,AE24)))&lt;'Model &amp; indstillinger'!$E$16,'Model &amp; indstillinger'!$E$18,'Model &amp; indstillinger'!$E$20)*(MAX(AA24,AC24,AE24)-((AA24*AB24+AC24*AD24+AE24*AF24)/(AB24+AD24+AF24))),0)))</x:f>
      </x:c>
      <x:c r="Y24" s="62" t="str">
        <x:f>IF(X24="","",'Model &amp; indstillinger'!$B$4-X24)</x:f>
      </x:c>
      <x:c r="Z24" s="62" t="str">
        <x:f>IF(C24="","",IF(H24="Planlagt","Planlagt – ingen point endnu",IF(H24="Ikke spillet","Ikke spillet – tæller ikke som kamp og giver ingen point",IF(AN24=1,"STÆVNE SLUT – samlet point tilskrives","Frosset pointgrundlag – ingen tilskrivning endnu"))))</x:f>
        <x:v>Frosset pointgrundlag – ingen tilskrivning endnu</x:v>
      </x:c>
      <x:c r="AA24" s="60" t="n">
        <x:f>IF(C24="","",'Model &amp; indstillinger'!$B$6+SUMIFS($U$10:U24,$G$10:G24,"Single"))</x:f>
        <x:v>1775</x:v>
      </x:c>
      <x:c r="AB24" s="60" t="n">
        <x:f>IF(C24="","",'Model &amp; indstillinger'!$B$7+COUNTIFS($G$10:G24,"Single",$AK$10:AK24,1))</x:f>
        <x:v>51</x:v>
      </x:c>
      <x:c r="AC24" s="60" t="n">
        <x:f>IF(C24="","",'Model &amp; indstillinger'!$B$8+SUMIFS($U$10:U24,$G$10:G24,"Double"))</x:f>
        <x:v>1695</x:v>
      </x:c>
      <x:c r="AD24" s="60" t="n">
        <x:f>IF(C24="","",'Model &amp; indstillinger'!$B$9+COUNTIFS($G$10:G24,"Double",$AK$10:AK24,1))</x:f>
        <x:v>48</x:v>
      </x:c>
      <x:c r="AE24" s="60" t="n">
        <x:f>IF(C24="","",'Model &amp; indstillinger'!$B$10+SUMIFS($U$10:U24,$G$10:G24,"Mix"))</x:f>
        <x:v>1386</x:v>
      </x:c>
      <x:c r="AF24" s="60" t="n">
        <x:f>IF(C24="","",'Model &amp; indstillinger'!$B$11+COUNTIFS($G$10:G24,"Mix",$AK$10:AK24,1))</x:f>
        <x:v>5</x:v>
      </x:c>
      <x:c r="AG24" s="60" t="n">
        <x:f>IF(C24="","",IF(C24=C23,AG23,AG23+1))</x:f>
        <x:v>3</x:v>
      </x:c>
      <x:c r="AH24" s="60" t="n">
        <x:f>IF(C24="","",IF(AG24=AG23,AH23,AA23))</x:f>
        <x:v>1743</x:v>
      </x:c>
      <x:c r="AI24" s="60" t="n">
        <x:f>IF(C24="","",IF(AG24=AG23,AI23,AC23))</x:f>
        <x:v>1695</x:v>
      </x:c>
      <x:c r="AJ24" s="60" t="n">
        <x:f>IF(C24="","",IF(AG24=AG23,AJ23,AE23))</x:f>
        <x:v>1386</x:v>
      </x:c>
      <x:c r="AK24" s="60" t="n">
        <x:f>IF(OR(H24="Vundet",H24="Tabt"),1,0)</x:f>
        <x:v>1</x:v>
      </x:c>
      <x:c r="AL24" s="60" t="n"/>
      <x:c r="AM24" s="60" t="n">
        <x:f>MAX($AG$10:$AG$209)</x:f>
        <x:v>4</x:v>
      </x:c>
      <x:c r="AN24" s="60" t="n">
        <x:f>IF(C24="","",IF(AND(C25&lt;&gt;"",C25&lt;&gt;C24),1,0))</x:f>
        <x:v>0</x:v>
      </x:c>
      <x:c r="AO24" s="60" t="n"/>
      <x:c r="AP24" s="60" t="n">
        <x:f>MAX($AG$10:$AG$209)</x:f>
        <x:v>4</x:v>
      </x:c>
      <x:c r="AQ24" t="n">
        <x:f>AG24</x:f>
        <x:v>3</x:v>
      </x:c>
      <x:c r="AR24" t="str">
        <x:f>C24</x:f>
        <x:v>Slangerup</x:v>
      </x:c>
      <x:c r="AS24" t="str">
        <x:f>E24</x:f>
        <x:v>Sjælland</x:v>
      </x:c>
    </x:row>
    <x:row r="25">
      <x:c r="A25" s="60" t="n">
        <x:f>IF(C25="","",COUNTIF($C$10:C25,"&lt;&gt;"))</x:f>
        <x:v>16</x:v>
      </x:c>
      <x:c r="B25" s="122" t="n">
        <x:v>46284</x:v>
      </x:c>
      <x:c r="C25" s="87" t="inlineStr">
        <x:is>
          <x:t xml:space="preserve">Slangerup</x:t>
        </x:is>
      </x:c>
      <x:c r="D25" s="87" t="inlineStr">
        <x:is>
          <x:t xml:space="preserve">Pulje</x:t>
        </x:is>
      </x:c>
      <x:c r="E25" s="87" t="inlineStr">
        <x:is>
          <x:t xml:space="preserve">Sjælland</x:t>
        </x:is>
      </x:c>
      <x:c r="F25" s="87" t="inlineStr">
        <x:is>
          <x:t xml:space="preserve">Individuel turnering</x:t>
        </x:is>
      </x:c>
      <x:c r="G25" s="87" t="inlineStr">
        <x:is>
          <x:t xml:space="preserve">Single</x:t>
        </x:is>
      </x:c>
      <x:c r="H25" s="87" t="inlineStr">
        <x:is>
          <x:t xml:space="preserve">Tabt</x:t>
        </x:is>
      </x:c>
      <x:c r="I25" s="87" t="n"/>
      <x:c r="J25" s="87" t="n"/>
      <x:c r="K25" s="87" t="inlineStr">
        <x:is>
          <x:t xml:space="preserve">Albert Brøgger Andersen</x:t>
        </x:is>
      </x:c>
      <x:c r="L25" s="87" t="n">
        <x:v>1768</x:v>
      </x:c>
      <x:c r="M25" s="87" t="n"/>
      <x:c r="N25" s="87" t="n"/>
      <x:c r="O25" s="62" t="n">
        <x:f>IF(G25="","",IF(G25="Single",AH25,IF(G25="Double",AI25,AJ25)))</x:f>
        <x:v>1743</x:v>
      </x:c>
      <x:c r="P25" s="62" t="n">
        <x:f>IF(OR(G25="",H25="Ikke spillet"),"",IF(G25="Single",O25,IF(J25="","",(O25+J25)/2)))</x:f>
        <x:v>1743</x:v>
      </x:c>
      <x:c r="Q25" s="62" t="n">
        <x:f>IF(OR(G25="",H25="Ikke spillet"),"",IF(G25="Single",L25,IF(OR(L25="",N25=""),"",(L25+N25)/2)))</x:f>
        <x:v>1768</x:v>
      </x:c>
      <x:c r="R25" s="62" t="n">
        <x:f>IF(OR(P25="",Q25=""),"",Q25-P25)</x:f>
        <x:v>25</x:v>
      </x:c>
      <x:c r="S25" s="62" t="str">
        <x:f>IF(H25="Ikke spillet","",IF(R25="","",IF(ABS(R25)&lt;0.000001,"Lige (0)",VLOOKUP(ABS(R25),'BD Pointtabel'!$A$4:$G$15,2,TRUE))))</x:f>
        <x:v>25-49</x:v>
      </x:c>
      <x:c r="T25" s="62" t="str">
        <x:f>IF(H25="Ikke spillet","Ikke spillet",IF(H25="Planlagt","Planlagt",IF(OR(H25="",P25="",Q25=""),"",IF(H25="Vundet",IF(R25&gt;0,"Uventet sejr","Ventet sejr"),IF(R25&gt;=0,"Ventet nederlag","Uventet nederlag")))))</x:f>
        <x:v>Ventet nederlag</x:v>
      </x:c>
      <x:c r="U25" s="62" t="n">
        <x:f>IF(OR(H25="Ikke spillet",H25="Planlagt"),"",IF(OR(G25="",H25="",P25="",Q25=""),"",IF(AND(F25="Ungdomsholdturnering",OR(G25="Double",G25="Mix"),H25="Tabt"),0,IF(H25="Vundet",IF(R25&gt;0,VLOOKUP(ABS(R25),'BD Pointtabel'!$A$4:$G$15,4,TRUE),VLOOKUP(ABS(R25),'BD Pointtabel'!$A$4:$G$15,7,TRUE)),IF(R25&gt;=0,VLOOKUP(ABS(R25),'BD Pointtabel'!$A$4:$G$15,6,TRUE),VLOOKUP(ABS(R25),'BD Pointtabel'!$A$4:$G$15,3,TRUE))))))</x:f>
        <x:v>-6</x:v>
      </x:c>
      <x:c r="V25" s="62" t="n">
        <x:f>IF(G25="","",SUMIFS($U$10:U25,$AG$10:AG25,AG25,$G$10:G25,G25))</x:f>
        <x:v>26</x:v>
      </x:c>
      <x:c r="W25" s="62" t="str">
        <x:f>IF(C25="","",IF(AN25&lt;&gt;1,"",IF(G25="Single",AA25,IF(G25="Double",AC25,AE25))))</x:f>
      </x:c>
      <x:c r="X25" s="62" t="str">
        <x:f>IF(C25="","",IF(AN25&lt;&gt;1,"",ROUND(((AA25*AB25+AC25*AD25+AE25*AF25)/(AB25+AD25+AF25))+IF((MAX(AA25,AC25,AE25)-(AA25+AC25+AE25-MAX(AA25,AC25,AE25)-MIN(AA25,AC25,AE25)))&lt;'Model &amp; indstillinger'!$E$16,'Model &amp; indstillinger'!$E$18,'Model &amp; indstillinger'!$E$20)*(MAX(AA25,AC25,AE25)-((AA25*AB25+AC25*AD25+AE25*AF25)/(AB25+AD25+AF25))),0)))</x:f>
      </x:c>
      <x:c r="Y25" s="62" t="str">
        <x:f>IF(X25="","",'Model &amp; indstillinger'!$B$4-X25)</x:f>
      </x:c>
      <x:c r="Z25" s="62" t="str">
        <x:f>IF(C25="","",IF(H25="Planlagt","Planlagt – ingen point endnu",IF(H25="Ikke spillet","Ikke spillet – tæller ikke som kamp og giver ingen point",IF(AN25=1,"STÆVNE SLUT – samlet point tilskrives","Frosset pointgrundlag – ingen tilskrivning endnu"))))</x:f>
        <x:v>Frosset pointgrundlag – ingen tilskrivning endnu</x:v>
      </x:c>
      <x:c r="AA25" s="60" t="n">
        <x:f>IF(C25="","",'Model &amp; indstillinger'!$B$6+SUMIFS($U$10:U25,$G$10:G25,"Single"))</x:f>
        <x:v>1769</x:v>
      </x:c>
      <x:c r="AB25" s="60" t="n">
        <x:f>IF(C25="","",'Model &amp; indstillinger'!$B$7+COUNTIFS($G$10:G25,"Single",$AK$10:AK25,1))</x:f>
        <x:v>52</x:v>
      </x:c>
      <x:c r="AC25" s="60" t="n">
        <x:f>IF(C25="","",'Model &amp; indstillinger'!$B$8+SUMIFS($U$10:U25,$G$10:G25,"Double"))</x:f>
        <x:v>1695</x:v>
      </x:c>
      <x:c r="AD25" s="60" t="n">
        <x:f>IF(C25="","",'Model &amp; indstillinger'!$B$9+COUNTIFS($G$10:G25,"Double",$AK$10:AK25,1))</x:f>
        <x:v>48</x:v>
      </x:c>
      <x:c r="AE25" s="60" t="n">
        <x:f>IF(C25="","",'Model &amp; indstillinger'!$B$10+SUMIFS($U$10:U25,$G$10:G25,"Mix"))</x:f>
        <x:v>1386</x:v>
      </x:c>
      <x:c r="AF25" s="60" t="n">
        <x:f>IF(C25="","",'Model &amp; indstillinger'!$B$11+COUNTIFS($G$10:G25,"Mix",$AK$10:AK25,1))</x:f>
        <x:v>5</x:v>
      </x:c>
      <x:c r="AG25" s="60" t="n">
        <x:f>IF(C25="","",IF(C25=C24,AG24,AG24+1))</x:f>
        <x:v>3</x:v>
      </x:c>
      <x:c r="AH25" s="60" t="n">
        <x:f>IF(C25="","",IF(AG25=AG24,AH24,AA24))</x:f>
        <x:v>1743</x:v>
      </x:c>
      <x:c r="AI25" s="60" t="n">
        <x:f>IF(C25="","",IF(AG25=AG24,AI24,AC24))</x:f>
        <x:v>1695</x:v>
      </x:c>
      <x:c r="AJ25" s="60" t="n">
        <x:f>IF(C25="","",IF(AG25=AG24,AJ24,AE24))</x:f>
        <x:v>1386</x:v>
      </x:c>
      <x:c r="AK25" s="60" t="n">
        <x:f>IF(OR(H25="Vundet",H25="Tabt"),1,0)</x:f>
        <x:v>1</x:v>
      </x:c>
      <x:c r="AL25" s="60" t="n"/>
      <x:c r="AM25" s="60" t="n">
        <x:f>MAX($AG$10:$AG$209)</x:f>
        <x:v>4</x:v>
      </x:c>
      <x:c r="AN25" s="60" t="n">
        <x:f>IF(C25="","",IF(AND(C26&lt;&gt;"",C26&lt;&gt;C25),1,0))</x:f>
        <x:v>0</x:v>
      </x:c>
      <x:c r="AO25" s="60" t="n"/>
      <x:c r="AP25" s="60" t="n">
        <x:f>MAX($AG$10:$AG$209)</x:f>
        <x:v>4</x:v>
      </x:c>
      <x:c r="AQ25" t="n">
        <x:f>AG25</x:f>
        <x:v>3</x:v>
      </x:c>
      <x:c r="AR25" t="str">
        <x:f>C25</x:f>
        <x:v>Slangerup</x:v>
      </x:c>
      <x:c r="AS25" t="str">
        <x:f>E25</x:f>
        <x:v>Sjælland</x:v>
      </x:c>
    </x:row>
    <x:row r="26">
      <x:c r="A26" s="60" t="n">
        <x:f>IF(C26="","",COUNTIF($C$10:C26,"&lt;&gt;"))</x:f>
        <x:v>17</x:v>
      </x:c>
      <x:c r="B26" s="122" t="n">
        <x:v>46284</x:v>
      </x:c>
      <x:c r="C26" s="87" t="inlineStr">
        <x:is>
          <x:t xml:space="preserve">Slangerup</x:t>
        </x:is>
      </x:c>
      <x:c r="D26" s="87" t="inlineStr">
        <x:is>
          <x:t xml:space="preserve">Pulje</x:t>
        </x:is>
      </x:c>
      <x:c r="E26" s="87" t="inlineStr">
        <x:is>
          <x:t xml:space="preserve">Sjælland</x:t>
        </x:is>
      </x:c>
      <x:c r="F26" s="87" t="inlineStr">
        <x:is>
          <x:t xml:space="preserve">Individuel turnering</x:t>
        </x:is>
      </x:c>
      <x:c r="G26" s="87" t="inlineStr">
        <x:is>
          <x:t xml:space="preserve">Double</x:t>
        </x:is>
      </x:c>
      <x:c r="H26" s="87" t="inlineStr">
        <x:is>
          <x:t xml:space="preserve">Vundet</x:t>
        </x:is>
      </x:c>
      <x:c r="I26" s="87" t="inlineStr">
        <x:is>
          <x:t xml:space="preserve">Malthe Wetke-Halgren</x:t>
        </x:is>
      </x:c>
      <x:c r="J26" s="87" t="n">
        <x:v>1678</x:v>
      </x:c>
      <x:c r="K26" s="87" t="inlineStr">
        <x:is>
          <x:t xml:space="preserve">Albert Vincent</x:t>
        </x:is>
      </x:c>
      <x:c r="L26" s="87" t="n">
        <x:v>1308</x:v>
      </x:c>
      <x:c r="M26" s="87" t="inlineStr">
        <x:is>
          <x:t xml:space="preserve">Bastian Bæk-Sørensen</x:t>
        </x:is>
      </x:c>
      <x:c r="N26" s="87" t="n">
        <x:v>1692</x:v>
      </x:c>
      <x:c r="O26" s="62" t="n">
        <x:f>IF(G26="","",IF(G26="Single",AH26,IF(G26="Double",AI26,AJ26)))</x:f>
        <x:v>1695</x:v>
      </x:c>
      <x:c r="P26" s="62" t="n">
        <x:f>IF(OR(G26="",H26="Ikke spillet"),"",IF(G26="Single",O26,IF(J26="","",(O26+J26)/2)))</x:f>
        <x:v>1686.5</x:v>
      </x:c>
      <x:c r="Q26" s="62" t="n">
        <x:f>IF(OR(G26="",H26="Ikke spillet"),"",IF(G26="Single",L26,IF(OR(L26="",N26=""),"",(L26+N26)/2)))</x:f>
        <x:v>1500</x:v>
      </x:c>
      <x:c r="R26" s="62" t="n">
        <x:f>IF(OR(P26="",Q26=""),"",Q26-P26)</x:f>
        <x:v>-186.5</x:v>
      </x:c>
      <x:c r="S26" s="62" t="str">
        <x:f>IF(H26="Ikke spillet","",IF(R26="","",IF(ABS(R26)&lt;0.000001,"Lige (0)",VLOOKUP(ABS(R26),'BD Pointtabel'!$A$4:$G$15,2,TRUE))))</x:f>
        <x:v>150-199</x:v>
      </x:c>
      <x:c r="T26" s="62" t="str">
        <x:f>IF(H26="Ikke spillet","Ikke spillet",IF(H26="Planlagt","Planlagt",IF(OR(H26="",P26="",Q26=""),"",IF(H26="Vundet",IF(R26&gt;0,"Uventet sejr","Ventet sejr"),IF(R26&gt;=0,"Ventet nederlag","Uventet nederlag")))))</x:f>
        <x:v>Ventet sejr</x:v>
      </x:c>
      <x:c r="U26" s="62" t="n">
        <x:f>IF(OR(H26="Ikke spillet",H26="Planlagt"),"",IF(OR(G26="",H26="",P26="",Q26=""),"",IF(AND(F26="Ungdomsholdturnering",OR(G26="Double",G26="Mix"),H26="Tabt"),0,IF(H26="Vundet",IF(R26&gt;0,VLOOKUP(ABS(R26),'BD Pointtabel'!$A$4:$G$15,4,TRUE),VLOOKUP(ABS(R26),'BD Pointtabel'!$A$4:$G$15,7,TRUE)),IF(R26&gt;=0,VLOOKUP(ABS(R26),'BD Pointtabel'!$A$4:$G$15,6,TRUE),VLOOKUP(ABS(R26),'BD Pointtabel'!$A$4:$G$15,3,TRUE))))))</x:f>
        <x:v>9</x:v>
      </x:c>
      <x:c r="V26" s="62" t="n">
        <x:f>IF(G26="","",SUMIFS($U$10:U26,$AG$10:AG26,AG26,$G$10:G26,G26))</x:f>
        <x:v>9</x:v>
      </x:c>
      <x:c r="W26" s="62" t="str">
        <x:f>IF(C26="","",IF(AN26&lt;&gt;1,"",IF(G26="Single",AA26,IF(G26="Double",AC26,AE26))))</x:f>
      </x:c>
      <x:c r="X26" s="62" t="str">
        <x:f>IF(C26="","",IF(AN26&lt;&gt;1,"",ROUND(((AA26*AB26+AC26*AD26+AE26*AF26)/(AB26+AD26+AF26))+IF((MAX(AA26,AC26,AE26)-(AA26+AC26+AE26-MAX(AA26,AC26,AE26)-MIN(AA26,AC26,AE26)))&lt;'Model &amp; indstillinger'!$E$16,'Model &amp; indstillinger'!$E$18,'Model &amp; indstillinger'!$E$20)*(MAX(AA26,AC26,AE26)-((AA26*AB26+AC26*AD26+AE26*AF26)/(AB26+AD26+AF26))),0)))</x:f>
      </x:c>
      <x:c r="Y26" s="62" t="str">
        <x:f>IF(X26="","",'Model &amp; indstillinger'!$B$4-X26)</x:f>
      </x:c>
      <x:c r="Z26" s="62" t="str">
        <x:f>IF(C26="","",IF(H26="Planlagt","Planlagt – ingen point endnu",IF(H26="Ikke spillet","Ikke spillet – tæller ikke som kamp og giver ingen point",IF(AN26=1,"STÆVNE SLUT – samlet point tilskrives","Frosset pointgrundlag – ingen tilskrivning endnu"))))</x:f>
        <x:v>Frosset pointgrundlag – ingen tilskrivning endnu</x:v>
      </x:c>
      <x:c r="AA26" s="60" t="n">
        <x:f>IF(C26="","",'Model &amp; indstillinger'!$B$6+SUMIFS($U$10:U26,$G$10:G26,"Single"))</x:f>
        <x:v>1769</x:v>
      </x:c>
      <x:c r="AB26" s="60" t="n">
        <x:f>IF(C26="","",'Model &amp; indstillinger'!$B$7+COUNTIFS($G$10:G26,"Single",$AK$10:AK26,1))</x:f>
        <x:v>52</x:v>
      </x:c>
      <x:c r="AC26" s="60" t="n">
        <x:f>IF(C26="","",'Model &amp; indstillinger'!$B$8+SUMIFS($U$10:U26,$G$10:G26,"Double"))</x:f>
        <x:v>1704</x:v>
      </x:c>
      <x:c r="AD26" s="60" t="n">
        <x:f>IF(C26="","",'Model &amp; indstillinger'!$B$9+COUNTIFS($G$10:G26,"Double",$AK$10:AK26,1))</x:f>
        <x:v>49</x:v>
      </x:c>
      <x:c r="AE26" s="60" t="n">
        <x:f>IF(C26="","",'Model &amp; indstillinger'!$B$10+SUMIFS($U$10:U26,$G$10:G26,"Mix"))</x:f>
        <x:v>1386</x:v>
      </x:c>
      <x:c r="AF26" s="60" t="n">
        <x:f>IF(C26="","",'Model &amp; indstillinger'!$B$11+COUNTIFS($G$10:G26,"Mix",$AK$10:AK26,1))</x:f>
        <x:v>5</x:v>
      </x:c>
      <x:c r="AG26" s="60" t="n">
        <x:f>IF(C26="","",IF(C26=C25,AG25,AG25+1))</x:f>
        <x:v>3</x:v>
      </x:c>
      <x:c r="AH26" s="60" t="n">
        <x:f>IF(C26="","",IF(AG26=AG25,AH25,AA25))</x:f>
        <x:v>1743</x:v>
      </x:c>
      <x:c r="AI26" s="60" t="n">
        <x:f>IF(C26="","",IF(AG26=AG25,AI25,AC25))</x:f>
        <x:v>1695</x:v>
      </x:c>
      <x:c r="AJ26" s="60" t="n">
        <x:f>IF(C26="","",IF(AG26=AG25,AJ25,AE25))</x:f>
        <x:v>1386</x:v>
      </x:c>
      <x:c r="AK26" s="60" t="n">
        <x:f>IF(OR(H26="Vundet",H26="Tabt"),1,0)</x:f>
        <x:v>1</x:v>
      </x:c>
      <x:c r="AL26" s="60" t="n"/>
      <x:c r="AM26" s="60" t="n">
        <x:f>MAX($AG$10:$AG$209)</x:f>
        <x:v>4</x:v>
      </x:c>
      <x:c r="AN26" s="60" t="n">
        <x:f>IF(C26="","",IF(AND(C27&lt;&gt;"",C27&lt;&gt;C26),1,0))</x:f>
        <x:v>0</x:v>
      </x:c>
      <x:c r="AO26" s="60" t="n"/>
      <x:c r="AP26" s="60" t="n">
        <x:f>MAX($AG$10:$AG$209)</x:f>
        <x:v>4</x:v>
      </x:c>
      <x:c r="AQ26" t="n">
        <x:f>AG26</x:f>
        <x:v>3</x:v>
      </x:c>
      <x:c r="AR26" t="str">
        <x:f>C26</x:f>
        <x:v>Slangerup</x:v>
      </x:c>
      <x:c r="AS26" t="str">
        <x:f>E26</x:f>
        <x:v>Sjælland</x:v>
      </x:c>
    </x:row>
    <x:row r="27">
      <x:c r="A27" s="60" t="n">
        <x:f>IF(C27="","",COUNTIF($C$10:C27,"&lt;&gt;"))</x:f>
        <x:v>18</x:v>
      </x:c>
      <x:c r="B27" s="122" t="n">
        <x:v>46284</x:v>
      </x:c>
      <x:c r="C27" s="87" t="inlineStr">
        <x:is>
          <x:t xml:space="preserve">Slangerup</x:t>
        </x:is>
      </x:c>
      <x:c r="D27" s="87" t="inlineStr">
        <x:is>
          <x:t xml:space="preserve">Pulje</x:t>
        </x:is>
      </x:c>
      <x:c r="E27" s="87" t="inlineStr">
        <x:is>
          <x:t xml:space="preserve">Sjælland</x:t>
        </x:is>
      </x:c>
      <x:c r="F27" s="87" t="inlineStr">
        <x:is>
          <x:t xml:space="preserve">Individuel turnering</x:t>
        </x:is>
      </x:c>
      <x:c r="G27" s="87" t="inlineStr">
        <x:is>
          <x:t xml:space="preserve">Double</x:t>
        </x:is>
      </x:c>
      <x:c r="H27" s="87" t="inlineStr">
        <x:is>
          <x:t xml:space="preserve">Vundet</x:t>
        </x:is>
      </x:c>
      <x:c r="I27" s="87" t="inlineStr">
        <x:is>
          <x:t xml:space="preserve">Malthe Wetke-Halgren</x:t>
        </x:is>
      </x:c>
      <x:c r="J27" s="87" t="n">
        <x:v>1678</x:v>
      </x:c>
      <x:c r="K27" s="87" t="inlineStr">
        <x:is>
          <x:t xml:space="preserve">Sihan Lei</x:t>
        </x:is>
      </x:c>
      <x:c r="L27" s="87" t="n">
        <x:v>1491</x:v>
      </x:c>
      <x:c r="M27" s="87" t="inlineStr">
        <x:is>
          <x:t xml:space="preserve">Birk Lund Dujardin</x:t>
        </x:is>
      </x:c>
      <x:c r="N27" s="87" t="n">
        <x:v>1430</x:v>
      </x:c>
      <x:c r="O27" s="62" t="n">
        <x:f>IF(G27="","",IF(G27="Single",AH27,IF(G27="Double",AI27,AJ27)))</x:f>
        <x:v>1695</x:v>
      </x:c>
      <x:c r="P27" s="62" t="n">
        <x:f>IF(OR(G27="",H27="Ikke spillet"),"",IF(G27="Single",O27,IF(J27="","",(O27+J27)/2)))</x:f>
        <x:v>1686.5</x:v>
      </x:c>
      <x:c r="Q27" s="62" t="n">
        <x:f>IF(OR(G27="",H27="Ikke spillet"),"",IF(G27="Single",L27,IF(OR(L27="",N27=""),"",(L27+N27)/2)))</x:f>
        <x:v>1460.5</x:v>
      </x:c>
      <x:c r="R27" s="62" t="n">
        <x:f>IF(OR(P27="",Q27=""),"",Q27-P27)</x:f>
        <x:v>-226</x:v>
      </x:c>
      <x:c r="S27" s="62" t="str">
        <x:f>IF(H27="Ikke spillet","",IF(R27="","",IF(ABS(R27)&lt;0.000001,"Lige (0)",VLOOKUP(ABS(R27),'BD Pointtabel'!$A$4:$G$15,2,TRUE))))</x:f>
        <x:v>200-249</x:v>
      </x:c>
      <x:c r="T27" s="62" t="str">
        <x:f>IF(H27="Ikke spillet","Ikke spillet",IF(H27="Planlagt","Planlagt",IF(OR(H27="",P27="",Q27=""),"",IF(H27="Vundet",IF(R27&gt;0,"Uventet sejr","Ventet sejr"),IF(R27&gt;=0,"Ventet nederlag","Uventet nederlag")))))</x:f>
        <x:v>Ventet sejr</x:v>
      </x:c>
      <x:c r="U27" s="62" t="n">
        <x:f>IF(OR(H27="Ikke spillet",H27="Planlagt"),"",IF(OR(G27="",H27="",P27="",Q27=""),"",IF(AND(F27="Ungdomsholdturnering",OR(G27="Double",G27="Mix"),H27="Tabt"),0,IF(H27="Vundet",IF(R27&gt;0,VLOOKUP(ABS(R27),'BD Pointtabel'!$A$4:$G$15,4,TRUE),VLOOKUP(ABS(R27),'BD Pointtabel'!$A$4:$G$15,7,TRUE)),IF(R27&gt;=0,VLOOKUP(ABS(R27),'BD Pointtabel'!$A$4:$G$15,6,TRUE),VLOOKUP(ABS(R27),'BD Pointtabel'!$A$4:$G$15,3,TRUE))))))</x:f>
        <x:v>8</x:v>
      </x:c>
      <x:c r="V27" s="62" t="n">
        <x:f>IF(G27="","",SUMIFS($U$10:U27,$AG$10:AG27,AG27,$G$10:G27,G27))</x:f>
        <x:v>17</x:v>
      </x:c>
      <x:c r="W27" s="62" t="str">
        <x:f>IF(C27="","",IF(AN27&lt;&gt;1,"",IF(G27="Single",AA27,IF(G27="Double",AC27,AE27))))</x:f>
      </x:c>
      <x:c r="X27" s="62" t="str">
        <x:f>IF(C27="","",IF(AN27&lt;&gt;1,"",ROUND(((AA27*AB27+AC27*AD27+AE27*AF27)/(AB27+AD27+AF27))+IF((MAX(AA27,AC27,AE27)-(AA27+AC27+AE27-MAX(AA27,AC27,AE27)-MIN(AA27,AC27,AE27)))&lt;'Model &amp; indstillinger'!$E$16,'Model &amp; indstillinger'!$E$18,'Model &amp; indstillinger'!$E$20)*(MAX(AA27,AC27,AE27)-((AA27*AB27+AC27*AD27+AE27*AF27)/(AB27+AD27+AF27))),0)))</x:f>
      </x:c>
      <x:c r="Y27" s="62" t="str">
        <x:f>IF(X27="","",'Model &amp; indstillinger'!$B$4-X27)</x:f>
      </x:c>
      <x:c r="Z27" s="62" t="str">
        <x:f>IF(C27="","",IF(H27="Planlagt","Planlagt – ingen point endnu",IF(H27="Ikke spillet","Ikke spillet – tæller ikke som kamp og giver ingen point",IF(AN27=1,"STÆVNE SLUT – samlet point tilskrives","Frosset pointgrundlag – ingen tilskrivning endnu"))))</x:f>
        <x:v>Frosset pointgrundlag – ingen tilskrivning endnu</x:v>
      </x:c>
      <x:c r="AA27" s="60" t="n">
        <x:f>IF(C27="","",'Model &amp; indstillinger'!$B$6+SUMIFS($U$10:U27,$G$10:G27,"Single"))</x:f>
        <x:v>1769</x:v>
      </x:c>
      <x:c r="AB27" s="60" t="n">
        <x:f>IF(C27="","",'Model &amp; indstillinger'!$B$7+COUNTIFS($G$10:G27,"Single",$AK$10:AK27,1))</x:f>
        <x:v>52</x:v>
      </x:c>
      <x:c r="AC27" s="60" t="n">
        <x:f>IF(C27="","",'Model &amp; indstillinger'!$B$8+SUMIFS($U$10:U27,$G$10:G27,"Double"))</x:f>
        <x:v>1712</x:v>
      </x:c>
      <x:c r="AD27" s="60" t="n">
        <x:f>IF(C27="","",'Model &amp; indstillinger'!$B$9+COUNTIFS($G$10:G27,"Double",$AK$10:AK27,1))</x:f>
        <x:v>50</x:v>
      </x:c>
      <x:c r="AE27" s="60" t="n">
        <x:f>IF(C27="","",'Model &amp; indstillinger'!$B$10+SUMIFS($U$10:U27,$G$10:G27,"Mix"))</x:f>
        <x:v>1386</x:v>
      </x:c>
      <x:c r="AF27" s="60" t="n">
        <x:f>IF(C27="","",'Model &amp; indstillinger'!$B$11+COUNTIFS($G$10:G27,"Mix",$AK$10:AK27,1))</x:f>
        <x:v>5</x:v>
      </x:c>
      <x:c r="AG27" s="60" t="n">
        <x:f>IF(C27="","",IF(C27=C26,AG26,AG26+1))</x:f>
        <x:v>3</x:v>
      </x:c>
      <x:c r="AH27" s="60" t="n">
        <x:f>IF(C27="","",IF(AG27=AG26,AH26,AA26))</x:f>
        <x:v>1743</x:v>
      </x:c>
      <x:c r="AI27" s="60" t="n">
        <x:f>IF(C27="","",IF(AG27=AG26,AI26,AC26))</x:f>
        <x:v>1695</x:v>
      </x:c>
      <x:c r="AJ27" s="60" t="n">
        <x:f>IF(C27="","",IF(AG27=AG26,AJ26,AE26))</x:f>
        <x:v>1386</x:v>
      </x:c>
      <x:c r="AK27" s="60" t="n">
        <x:f>IF(OR(H27="Vundet",H27="Tabt"),1,0)</x:f>
        <x:v>1</x:v>
      </x:c>
      <x:c r="AL27" s="60" t="n"/>
      <x:c r="AM27" s="60" t="n">
        <x:f>MAX($AG$10:$AG$209)</x:f>
        <x:v>4</x:v>
      </x:c>
      <x:c r="AN27" s="60" t="n">
        <x:f>IF(C27="","",IF(AND(C28&lt;&gt;"",C28&lt;&gt;C27),1,0))</x:f>
        <x:v>0</x:v>
      </x:c>
      <x:c r="AO27" s="60" t="n"/>
      <x:c r="AP27" s="60" t="n">
        <x:f>MAX($AG$10:$AG$209)</x:f>
        <x:v>4</x:v>
      </x:c>
      <x:c r="AQ27" t="n">
        <x:f>AG27</x:f>
        <x:v>3</x:v>
      </x:c>
      <x:c r="AR27" t="str">
        <x:f>C27</x:f>
        <x:v>Slangerup</x:v>
      </x:c>
      <x:c r="AS27" t="str">
        <x:f>E27</x:f>
        <x:v>Sjælland</x:v>
      </x:c>
    </x:row>
    <x:row r="28">
      <x:c r="A28" s="60" t="n">
        <x:f>IF(C28="","",COUNTIF($C$10:C28,"&lt;&gt;"))</x:f>
        <x:v>19</x:v>
      </x:c>
      <x:c r="B28" s="122" t="n">
        <x:v>46284</x:v>
      </x:c>
      <x:c r="C28" s="87" t="inlineStr">
        <x:is>
          <x:t xml:space="preserve">Slangerup</x:t>
        </x:is>
      </x:c>
      <x:c r="D28" s="87" t="inlineStr">
        <x:is>
          <x:t xml:space="preserve">Pulje</x:t>
        </x:is>
      </x:c>
      <x:c r="E28" s="87" t="inlineStr">
        <x:is>
          <x:t xml:space="preserve">Sjælland</x:t>
        </x:is>
      </x:c>
      <x:c r="F28" s="87" t="inlineStr">
        <x:is>
          <x:t xml:space="preserve">Individuel turnering</x:t>
        </x:is>
      </x:c>
      <x:c r="G28" s="87" t="inlineStr">
        <x:is>
          <x:t xml:space="preserve">Double</x:t>
        </x:is>
      </x:c>
      <x:c r="H28" s="87" t="inlineStr">
        <x:is>
          <x:t xml:space="preserve">Vundet</x:t>
        </x:is>
      </x:c>
      <x:c r="I28" s="87" t="inlineStr">
        <x:is>
          <x:t xml:space="preserve">Malthe Wetke-Halgren</x:t>
        </x:is>
      </x:c>
      <x:c r="J28" s="87" t="n">
        <x:v>1678</x:v>
      </x:c>
      <x:c r="K28" s="87" t="inlineStr">
        <x:is>
          <x:t xml:space="preserve">Sebastian Lundberg</x:t>
        </x:is>
      </x:c>
      <x:c r="L28" s="87" t="n">
        <x:v>1518</x:v>
      </x:c>
      <x:c r="M28" s="87" t="inlineStr">
        <x:is>
          <x:t xml:space="preserve">Aleksander Stæhr</x:t>
        </x:is>
      </x:c>
      <x:c r="N28" s="87" t="n">
        <x:v>1504</x:v>
      </x:c>
      <x:c r="O28" s="62" t="n">
        <x:f>IF(G28="","",IF(G28="Single",AH28,IF(G28="Double",AI28,AJ28)))</x:f>
        <x:v>1695</x:v>
      </x:c>
      <x:c r="P28" s="62" t="n">
        <x:f>IF(OR(G28="",H28="Ikke spillet"),"",IF(G28="Single",O28,IF(J28="","",(O28+J28)/2)))</x:f>
        <x:v>1686.5</x:v>
      </x:c>
      <x:c r="Q28" s="62" t="n">
        <x:f>IF(OR(G28="",H28="Ikke spillet"),"",IF(G28="Single",L28,IF(OR(L28="",N28=""),"",(L28+N28)/2)))</x:f>
        <x:v>1511</x:v>
      </x:c>
      <x:c r="R28" s="62" t="n">
        <x:f>IF(OR(P28="",Q28=""),"",Q28-P28)</x:f>
        <x:v>-175.5</x:v>
      </x:c>
      <x:c r="S28" s="62" t="str">
        <x:f>IF(H28="Ikke spillet","",IF(R28="","",IF(ABS(R28)&lt;0.000001,"Lige (0)",VLOOKUP(ABS(R28),'BD Pointtabel'!$A$4:$G$15,2,TRUE))))</x:f>
        <x:v>150-199</x:v>
      </x:c>
      <x:c r="T28" s="62" t="str">
        <x:f>IF(H28="Ikke spillet","Ikke spillet",IF(H28="Planlagt","Planlagt",IF(OR(H28="",P28="",Q28=""),"",IF(H28="Vundet",IF(R28&gt;0,"Uventet sejr","Ventet sejr"),IF(R28&gt;=0,"Ventet nederlag","Uventet nederlag")))))</x:f>
        <x:v>Ventet sejr</x:v>
      </x:c>
      <x:c r="U28" s="62" t="n">
        <x:f>IF(OR(H28="Ikke spillet",H28="Planlagt"),"",IF(OR(G28="",H28="",P28="",Q28=""),"",IF(AND(F28="Ungdomsholdturnering",OR(G28="Double",G28="Mix"),H28="Tabt"),0,IF(H28="Vundet",IF(R28&gt;0,VLOOKUP(ABS(R28),'BD Pointtabel'!$A$4:$G$15,4,TRUE),VLOOKUP(ABS(R28),'BD Pointtabel'!$A$4:$G$15,7,TRUE)),IF(R28&gt;=0,VLOOKUP(ABS(R28),'BD Pointtabel'!$A$4:$G$15,6,TRUE),VLOOKUP(ABS(R28),'BD Pointtabel'!$A$4:$G$15,3,TRUE))))))</x:f>
        <x:v>9</x:v>
      </x:c>
      <x:c r="V28" s="62" t="n">
        <x:f>IF(G28="","",SUMIFS($U$10:U28,$AG$10:AG28,AG28,$G$10:G28,G28))</x:f>
        <x:v>26</x:v>
      </x:c>
      <x:c r="W28" s="62" t="str">
        <x:f>IF(C28="","",IF(AN28&lt;&gt;1,"",IF(G28="Single",AA28,IF(G28="Double",AC28,AE28))))</x:f>
      </x:c>
      <x:c r="X28" s="62" t="str">
        <x:f>IF(C28="","",IF(AN28&lt;&gt;1,"",ROUND(((AA28*AB28+AC28*AD28+AE28*AF28)/(AB28+AD28+AF28))+IF((MAX(AA28,AC28,AE28)-(AA28+AC28+AE28-MAX(AA28,AC28,AE28)-MIN(AA28,AC28,AE28)))&lt;'Model &amp; indstillinger'!$E$16,'Model &amp; indstillinger'!$E$18,'Model &amp; indstillinger'!$E$20)*(MAX(AA28,AC28,AE28)-((AA28*AB28+AC28*AD28+AE28*AF28)/(AB28+AD28+AF28))),0)))</x:f>
      </x:c>
      <x:c r="Y28" s="62" t="str">
        <x:f>IF(X28="","",'Model &amp; indstillinger'!$B$4-X28)</x:f>
      </x:c>
      <x:c r="Z28" s="62" t="str">
        <x:f>IF(C28="","",IF(H28="Planlagt","Planlagt – ingen point endnu",IF(H28="Ikke spillet","Ikke spillet – tæller ikke som kamp og giver ingen point",IF(AN28=1,"STÆVNE SLUT – samlet point tilskrives","Frosset pointgrundlag – ingen tilskrivning endnu"))))</x:f>
        <x:v>Frosset pointgrundlag – ingen tilskrivning endnu</x:v>
      </x:c>
      <x:c r="AA28" s="60" t="n">
        <x:f>IF(C28="","",'Model &amp; indstillinger'!$B$6+SUMIFS($U$10:U28,$G$10:G28,"Single"))</x:f>
        <x:v>1769</x:v>
      </x:c>
      <x:c r="AB28" s="60" t="n">
        <x:f>IF(C28="","",'Model &amp; indstillinger'!$B$7+COUNTIFS($G$10:G28,"Single",$AK$10:AK28,1))</x:f>
        <x:v>52</x:v>
      </x:c>
      <x:c r="AC28" s="60" t="n">
        <x:f>IF(C28="","",'Model &amp; indstillinger'!$B$8+SUMIFS($U$10:U28,$G$10:G28,"Double"))</x:f>
        <x:v>1721</x:v>
      </x:c>
      <x:c r="AD28" s="60" t="n">
        <x:f>IF(C28="","",'Model &amp; indstillinger'!$B$9+COUNTIFS($G$10:G28,"Double",$AK$10:AK28,1))</x:f>
        <x:v>51</x:v>
      </x:c>
      <x:c r="AE28" s="60" t="n">
        <x:f>IF(C28="","",'Model &amp; indstillinger'!$B$10+SUMIFS($U$10:U28,$G$10:G28,"Mix"))</x:f>
        <x:v>1386</x:v>
      </x:c>
      <x:c r="AF28" s="60" t="n">
        <x:f>IF(C28="","",'Model &amp; indstillinger'!$B$11+COUNTIFS($G$10:G28,"Mix",$AK$10:AK28,1))</x:f>
        <x:v>5</x:v>
      </x:c>
      <x:c r="AG28" s="60" t="n">
        <x:f>IF(C28="","",IF(C28=C27,AG27,AG27+1))</x:f>
        <x:v>3</x:v>
      </x:c>
      <x:c r="AH28" s="60" t="n">
        <x:f>IF(C28="","",IF(AG28=AG27,AH27,AA27))</x:f>
        <x:v>1743</x:v>
      </x:c>
      <x:c r="AI28" s="60" t="n">
        <x:f>IF(C28="","",IF(AG28=AG27,AI27,AC27))</x:f>
        <x:v>1695</x:v>
      </x:c>
      <x:c r="AJ28" s="60" t="n">
        <x:f>IF(C28="","",IF(AG28=AG27,AJ27,AE27))</x:f>
        <x:v>1386</x:v>
      </x:c>
      <x:c r="AK28" s="60" t="n">
        <x:f>IF(OR(H28="Vundet",H28="Tabt"),1,0)</x:f>
        <x:v>1</x:v>
      </x:c>
      <x:c r="AL28" s="60" t="n"/>
      <x:c r="AM28" s="60" t="n">
        <x:f>MAX($AG$10:$AG$209)</x:f>
        <x:v>4</x:v>
      </x:c>
      <x:c r="AN28" s="60" t="n">
        <x:f>IF(C28="","",IF(AND(C29&lt;&gt;"",C29&lt;&gt;C28),1,0))</x:f>
        <x:v>0</x:v>
      </x:c>
      <x:c r="AO28" s="60" t="n"/>
      <x:c r="AP28" s="60" t="n">
        <x:f>MAX($AG$10:$AG$209)</x:f>
        <x:v>4</x:v>
      </x:c>
      <x:c r="AQ28" t="n">
        <x:f>AG28</x:f>
        <x:v>3</x:v>
      </x:c>
      <x:c r="AR28" t="str">
        <x:f>C28</x:f>
        <x:v>Slangerup</x:v>
      </x:c>
      <x:c r="AS28" t="str">
        <x:f>E28</x:f>
        <x:v>Sjælland</x:v>
      </x:c>
    </x:row>
    <x:row r="29">
      <x:c r="A29" s="60" t="n">
        <x:f>IF(C29="","",COUNTIF($C$10:C29,"&lt;&gt;"))</x:f>
        <x:v>20</x:v>
      </x:c>
      <x:c r="B29" s="122" t="n">
        <x:v>46284</x:v>
      </x:c>
      <x:c r="C29" s="87" t="inlineStr">
        <x:is>
          <x:t xml:space="preserve">Slangerup</x:t>
        </x:is>
      </x:c>
      <x:c r="D29" s="87" t="inlineStr">
        <x:is>
          <x:t xml:space="preserve">Pulje</x:t>
        </x:is>
      </x:c>
      <x:c r="E29" s="87" t="inlineStr">
        <x:is>
          <x:t xml:space="preserve">Sjælland</x:t>
        </x:is>
      </x:c>
      <x:c r="F29" s="87" t="inlineStr">
        <x:is>
          <x:t xml:space="preserve">Individuel turnering</x:t>
        </x:is>
      </x:c>
      <x:c r="G29" s="87" t="inlineStr">
        <x:is>
          <x:t xml:space="preserve">Double</x:t>
        </x:is>
      </x:c>
      <x:c r="H29" s="87" t="inlineStr">
        <x:is>
          <x:t xml:space="preserve">Vundet</x:t>
        </x:is>
      </x:c>
      <x:c r="I29" s="87" t="inlineStr">
        <x:is>
          <x:t xml:space="preserve">Malthe Wetke-Halgren</x:t>
        </x:is>
      </x:c>
      <x:c r="J29" s="87" t="n">
        <x:v>1678</x:v>
      </x:c>
      <x:c r="K29" s="87" t="inlineStr">
        <x:is>
          <x:t xml:space="preserve">Georg Stensen Bhatia</x:t>
        </x:is>
      </x:c>
      <x:c r="L29" s="87" t="n">
        <x:v>1689</x:v>
      </x:c>
      <x:c r="M29" s="87" t="inlineStr">
        <x:is>
          <x:t xml:space="preserve">Åetru Floroiu</x:t>
        </x:is>
      </x:c>
      <x:c r="N29" s="87" t="n">
        <x:v>1618</x:v>
      </x:c>
      <x:c r="O29" s="62" t="n">
        <x:f>IF(G29="","",IF(G29="Single",AH29,IF(G29="Double",AI29,AJ29)))</x:f>
        <x:v>1695</x:v>
      </x:c>
      <x:c r="P29" s="62" t="n">
        <x:f>IF(OR(G29="",H29="Ikke spillet"),"",IF(G29="Single",O29,IF(J29="","",(O29+J29)/2)))</x:f>
        <x:v>1686.5</x:v>
      </x:c>
      <x:c r="Q29" s="62" t="n">
        <x:f>IF(OR(G29="",H29="Ikke spillet"),"",IF(G29="Single",L29,IF(OR(L29="",N29=""),"",(L29+N29)/2)))</x:f>
        <x:v>1653.5</x:v>
      </x:c>
      <x:c r="R29" s="62" t="n">
        <x:f>IF(OR(P29="",Q29=""),"",Q29-P29)</x:f>
        <x:v>-33</x:v>
      </x:c>
      <x:c r="S29" s="62" t="str">
        <x:f>IF(H29="Ikke spillet","",IF(R29="","",IF(ABS(R29)&lt;0.000001,"Lige (0)",VLOOKUP(ABS(R29),'BD Pointtabel'!$A$4:$G$15,2,TRUE))))</x:f>
        <x:v>25-49</x:v>
      </x:c>
      <x:c r="T29" s="62" t="str">
        <x:f>IF(H29="Ikke spillet","Ikke spillet",IF(H29="Planlagt","Planlagt",IF(OR(H29="",P29="",Q29=""),"",IF(H29="Vundet",IF(R29&gt;0,"Uventet sejr","Ventet sejr"),IF(R29&gt;=0,"Ventet nederlag","Uventet nederlag")))))</x:f>
        <x:v>Ventet sejr</x:v>
      </x:c>
      <x:c r="U29" s="62" t="n">
        <x:f>IF(OR(H29="Ikke spillet",H29="Planlagt"),"",IF(OR(G29="",H29="",P29="",Q29=""),"",IF(AND(F29="Ungdomsholdturnering",OR(G29="Double",G29="Mix"),H29="Tabt"),0,IF(H29="Vundet",IF(R29&gt;0,VLOOKUP(ABS(R29),'BD Pointtabel'!$A$4:$G$15,4,TRUE),VLOOKUP(ABS(R29),'BD Pointtabel'!$A$4:$G$15,7,TRUE)),IF(R29&gt;=0,VLOOKUP(ABS(R29),'BD Pointtabel'!$A$4:$G$15,6,TRUE),VLOOKUP(ABS(R29),'BD Pointtabel'!$A$4:$G$15,3,TRUE))))))</x:f>
        <x:v>13</x:v>
      </x:c>
      <x:c r="V29" s="62" t="n">
        <x:f>IF(G29="","",SUMIFS($U$10:U29,$AG$10:AG29,AG29,$G$10:G29,G29))</x:f>
        <x:v>39</x:v>
      </x:c>
      <x:c r="W29" s="62" t="str">
        <x:f>IF(C29="","",IF(AN29&lt;&gt;1,"",IF(G29="Single",AA29,IF(G29="Double",AC29,AE29))))</x:f>
      </x:c>
      <x:c r="X29" s="62" t="str">
        <x:f>IF(C29="","",IF(AN29&lt;&gt;1,"",ROUND(((AA29*AB29+AC29*AD29+AE29*AF29)/(AB29+AD29+AF29))+IF((MAX(AA29,AC29,AE29)-(AA29+AC29+AE29-MAX(AA29,AC29,AE29)-MIN(AA29,AC29,AE29)))&lt;'Model &amp; indstillinger'!$E$16,'Model &amp; indstillinger'!$E$18,'Model &amp; indstillinger'!$E$20)*(MAX(AA29,AC29,AE29)-((AA29*AB29+AC29*AD29+AE29*AF29)/(AB29+AD29+AF29))),0)))</x:f>
      </x:c>
      <x:c r="Y29" s="62" t="str">
        <x:f>IF(X29="","",'Model &amp; indstillinger'!$B$4-X29)</x:f>
      </x:c>
      <x:c r="Z29" s="62" t="str">
        <x:f>IF(C29="","",IF(H29="Planlagt","Planlagt – ingen point endnu",IF(H29="Ikke spillet","Ikke spillet – tæller ikke som kamp og giver ingen point",IF(AN29=1,"STÆVNE SLUT – samlet point tilskrives","Frosset pointgrundlag – ingen tilskrivning endnu"))))</x:f>
        <x:v>Frosset pointgrundlag – ingen tilskrivning endnu</x:v>
      </x:c>
      <x:c r="AA29" s="60" t="n">
        <x:f>IF(C29="","",'Model &amp; indstillinger'!$B$6+SUMIFS($U$10:U29,$G$10:G29,"Single"))</x:f>
        <x:v>1769</x:v>
      </x:c>
      <x:c r="AB29" s="60" t="n">
        <x:f>IF(C29="","",'Model &amp; indstillinger'!$B$7+COUNTIFS($G$10:G29,"Single",$AK$10:AK29,1))</x:f>
        <x:v>52</x:v>
      </x:c>
      <x:c r="AC29" s="60" t="n">
        <x:f>IF(C29="","",'Model &amp; indstillinger'!$B$8+SUMIFS($U$10:U29,$G$10:G29,"Double"))</x:f>
        <x:v>1734</x:v>
      </x:c>
      <x:c r="AD29" s="60" t="n">
        <x:f>IF(C29="","",'Model &amp; indstillinger'!$B$9+COUNTIFS($G$10:G29,"Double",$AK$10:AK29,1))</x:f>
        <x:v>52</x:v>
      </x:c>
      <x:c r="AE29" s="60" t="n">
        <x:f>IF(C29="","",'Model &amp; indstillinger'!$B$10+SUMIFS($U$10:U29,$G$10:G29,"Mix"))</x:f>
        <x:v>1386</x:v>
      </x:c>
      <x:c r="AF29" s="60" t="n">
        <x:f>IF(C29="","",'Model &amp; indstillinger'!$B$11+COUNTIFS($G$10:G29,"Mix",$AK$10:AK29,1))</x:f>
        <x:v>5</x:v>
      </x:c>
      <x:c r="AG29" s="60" t="n">
        <x:f>IF(C29="","",IF(C29=C28,AG28,AG28+1))</x:f>
        <x:v>3</x:v>
      </x:c>
      <x:c r="AH29" s="60" t="n">
        <x:f>IF(C29="","",IF(AG29=AG28,AH28,AA28))</x:f>
        <x:v>1743</x:v>
      </x:c>
      <x:c r="AI29" s="60" t="n">
        <x:f>IF(C29="","",IF(AG29=AG28,AI28,AC28))</x:f>
        <x:v>1695</x:v>
      </x:c>
      <x:c r="AJ29" s="60" t="n">
        <x:f>IF(C29="","",IF(AG29=AG28,AJ28,AE28))</x:f>
        <x:v>1386</x:v>
      </x:c>
      <x:c r="AK29" s="60" t="n">
        <x:f>IF(OR(H29="Vundet",H29="Tabt"),1,0)</x:f>
        <x:v>1</x:v>
      </x:c>
      <x:c r="AL29" s="60" t="n"/>
      <x:c r="AM29" s="60" t="n">
        <x:f>MAX($AG$10:$AG$209)</x:f>
        <x:v>4</x:v>
      </x:c>
      <x:c r="AN29" s="60" t="n">
        <x:f>IF(C29="","",IF(AND(C30&lt;&gt;"",C30&lt;&gt;C29),1,0))</x:f>
        <x:v>0</x:v>
      </x:c>
      <x:c r="AO29" s="60" t="n"/>
      <x:c r="AP29" s="60" t="n">
        <x:f>MAX($AG$10:$AG$209)</x:f>
        <x:v>4</x:v>
      </x:c>
      <x:c r="AQ29" t="n">
        <x:f>AG29</x:f>
        <x:v>3</x:v>
      </x:c>
      <x:c r="AR29" t="str">
        <x:f>C29</x:f>
        <x:v>Slangerup</x:v>
      </x:c>
      <x:c r="AS29" t="str">
        <x:f>E29</x:f>
        <x:v>Sjælland</x:v>
      </x:c>
    </x:row>
    <x:row r="30">
      <x:c r="A30" s="60" t="n">
        <x:f>IF(C30="","",COUNTIF($C$10:C30,"&lt;&gt;"))</x:f>
        <x:v>21</x:v>
      </x:c>
      <x:c r="B30" s="122" t="n">
        <x:v>46284</x:v>
      </x:c>
      <x:c r="C30" s="87" t="inlineStr">
        <x:is>
          <x:t xml:space="preserve">Slangerup</x:t>
        </x:is>
      </x:c>
      <x:c r="D30" s="87" t="inlineStr">
        <x:is>
          <x:t xml:space="preserve">Semifinale</x:t>
        </x:is>
      </x:c>
      <x:c r="E30" s="87" t="inlineStr">
        <x:is>
          <x:t xml:space="preserve">Sjælland</x:t>
        </x:is>
      </x:c>
      <x:c r="F30" s="87" t="inlineStr">
        <x:is>
          <x:t xml:space="preserve">Individuel turnering</x:t>
        </x:is>
      </x:c>
      <x:c r="G30" s="87" t="inlineStr">
        <x:is>
          <x:t xml:space="preserve">Single</x:t>
        </x:is>
      </x:c>
      <x:c r="H30" s="87" t="inlineStr">
        <x:is>
          <x:t xml:space="preserve">Vundet</x:t>
        </x:is>
      </x:c>
      <x:c r="I30" s="87" t="n"/>
      <x:c r="J30" s="87" t="n"/>
      <x:c r="K30" s="87" t="inlineStr">
        <x:is>
          <x:t xml:space="preserve">Birk lund Dujardin</x:t>
        </x:is>
      </x:c>
      <x:c r="L30" s="87" t="n">
        <x:v>1847</x:v>
      </x:c>
      <x:c r="M30" s="87" t="n"/>
      <x:c r="N30" s="87" t="n"/>
      <x:c r="O30" s="62" t="n">
        <x:f>IF(G30="","",IF(G30="Single",AH30,IF(G30="Double",AI30,AJ30)))</x:f>
        <x:v>1743</x:v>
      </x:c>
      <x:c r="P30" s="62" t="n">
        <x:f>IF(OR(G30="",H30="Ikke spillet"),"",IF(G30="Single",O30,IF(J30="","",(O30+J30)/2)))</x:f>
        <x:v>1743</x:v>
      </x:c>
      <x:c r="Q30" s="62" t="n">
        <x:f>IF(OR(G30="",H30="Ikke spillet"),"",IF(G30="Single",L30,IF(OR(L30="",N30=""),"",(L30+N30)/2)))</x:f>
        <x:v>1847</x:v>
      </x:c>
      <x:c r="R30" s="62" t="n">
        <x:f>IF(OR(P30="",Q30=""),"",Q30-P30)</x:f>
        <x:v>104</x:v>
      </x:c>
      <x:c r="S30" s="62" t="str">
        <x:f>IF(H30="Ikke spillet","",IF(R30="","",IF(ABS(R30)&lt;0.000001,"Lige (0)",VLOOKUP(ABS(R30),'BD Pointtabel'!$A$4:$G$15,2,TRUE))))</x:f>
        <x:v>100-149</x:v>
      </x:c>
      <x:c r="T30" s="62" t="str">
        <x:f>IF(H30="Ikke spillet","Ikke spillet",IF(H30="Planlagt","Planlagt",IF(OR(H30="",P30="",Q30=""),"",IF(H30="Vundet",IF(R30&gt;0,"Uventet sejr","Ventet sejr"),IF(R30&gt;=0,"Ventet nederlag","Uventet nederlag")))))</x:f>
        <x:v>Uventet sejr</x:v>
      </x:c>
      <x:c r="U30" s="62" t="n">
        <x:f>IF(OR(H30="Ikke spillet",H30="Planlagt"),"",IF(OR(G30="",H30="",P30="",Q30=""),"",IF(AND(F30="Ungdomsholdturnering",OR(G30="Double",G30="Mix"),H30="Tabt"),0,IF(H30="Vundet",IF(R30&gt;0,VLOOKUP(ABS(R30),'BD Pointtabel'!$A$4:$G$15,4,TRUE),VLOOKUP(ABS(R30),'BD Pointtabel'!$A$4:$G$15,7,TRUE)),IF(R30&gt;=0,VLOOKUP(ABS(R30),'BD Pointtabel'!$A$4:$G$15,6,TRUE),VLOOKUP(ABS(R30),'BD Pointtabel'!$A$4:$G$15,3,TRUE))))))</x:f>
        <x:v>22</x:v>
      </x:c>
      <x:c r="V30" s="62" t="n">
        <x:f>IF(G30="","",SUMIFS($U$10:U30,$AG$10:AG30,AG30,$G$10:G30,G30))</x:f>
        <x:v>48</x:v>
      </x:c>
      <x:c r="W30" s="62" t="str">
        <x:f>IF(C30="","",IF(AN30&lt;&gt;1,"",IF(G30="Single",AA30,IF(G30="Double",AC30,AE30))))</x:f>
      </x:c>
      <x:c r="X30" s="62" t="str">
        <x:f>IF(C30="","",IF(AN30&lt;&gt;1,"",ROUND(((AA30*AB30+AC30*AD30+AE30*AF30)/(AB30+AD30+AF30))+IF((MAX(AA30,AC30,AE30)-(AA30+AC30+AE30-MAX(AA30,AC30,AE30)-MIN(AA30,AC30,AE30)))&lt;'Model &amp; indstillinger'!$E$16,'Model &amp; indstillinger'!$E$18,'Model &amp; indstillinger'!$E$20)*(MAX(AA30,AC30,AE30)-((AA30*AB30+AC30*AD30+AE30*AF30)/(AB30+AD30+AF30))),0)))</x:f>
      </x:c>
      <x:c r="Y30" s="62" t="str">
        <x:f>IF(X30="","",'Model &amp; indstillinger'!$B$4-X30)</x:f>
      </x:c>
      <x:c r="Z30" s="62" t="str">
        <x:f>IF(C30="","",IF(H30="Planlagt","Planlagt – ingen point endnu",IF(H30="Ikke spillet","Ikke spillet – tæller ikke som kamp og giver ingen point",IF(AN30=1,"STÆVNE SLUT – samlet point tilskrives","Frosset pointgrundlag – ingen tilskrivning endnu"))))</x:f>
        <x:v>Frosset pointgrundlag – ingen tilskrivning endnu</x:v>
      </x:c>
      <x:c r="AA30" s="60" t="n">
        <x:f>IF(C30="","",'Model &amp; indstillinger'!$B$6+SUMIFS($U$10:U30,$G$10:G30,"Single"))</x:f>
        <x:v>1791</x:v>
      </x:c>
      <x:c r="AB30" s="60" t="n">
        <x:f>IF(C30="","",'Model &amp; indstillinger'!$B$7+COUNTIFS($G$10:G30,"Single",$AK$10:AK30,1))</x:f>
        <x:v>53</x:v>
      </x:c>
      <x:c r="AC30" s="60" t="n">
        <x:f>IF(C30="","",'Model &amp; indstillinger'!$B$8+SUMIFS($U$10:U30,$G$10:G30,"Double"))</x:f>
        <x:v>1734</x:v>
      </x:c>
      <x:c r="AD30" s="60" t="n">
        <x:f>IF(C30="","",'Model &amp; indstillinger'!$B$9+COUNTIFS($G$10:G30,"Double",$AK$10:AK30,1))</x:f>
        <x:v>52</x:v>
      </x:c>
      <x:c r="AE30" s="60" t="n">
        <x:f>IF(C30="","",'Model &amp; indstillinger'!$B$10+SUMIFS($U$10:U30,$G$10:G30,"Mix"))</x:f>
        <x:v>1386</x:v>
      </x:c>
      <x:c r="AF30" s="60" t="n">
        <x:f>IF(C30="","",'Model &amp; indstillinger'!$B$11+COUNTIFS($G$10:G30,"Mix",$AK$10:AK30,1))</x:f>
        <x:v>5</x:v>
      </x:c>
      <x:c r="AG30" s="60" t="n">
        <x:f>IF(C30="","",IF(C30=C29,AG29,AG29+1))</x:f>
        <x:v>3</x:v>
      </x:c>
      <x:c r="AH30" s="60" t="n">
        <x:f>IF(C30="","",IF(AG30=AG29,AH29,AA29))</x:f>
        <x:v>1743</x:v>
      </x:c>
      <x:c r="AI30" s="60" t="n">
        <x:f>IF(C30="","",IF(AG30=AG29,AI29,AC29))</x:f>
        <x:v>1695</x:v>
      </x:c>
      <x:c r="AJ30" s="60" t="n">
        <x:f>IF(C30="","",IF(AG30=AG29,AJ29,AE29))</x:f>
        <x:v>1386</x:v>
      </x:c>
      <x:c r="AK30" s="60" t="n">
        <x:f>IF(OR(H30="Vundet",H30="Tabt"),1,0)</x:f>
        <x:v>1</x:v>
      </x:c>
      <x:c r="AL30" s="60" t="n"/>
      <x:c r="AM30" s="60" t="n">
        <x:f>MAX($AG$10:$AG$209)</x:f>
        <x:v>4</x:v>
      </x:c>
      <x:c r="AN30" s="60" t="n">
        <x:f>IF(C30="","",IF(AND(C31&lt;&gt;"",C31&lt;&gt;C30),1,0))</x:f>
        <x:v>0</x:v>
      </x:c>
      <x:c r="AO30" s="60" t="n"/>
      <x:c r="AP30" s="60" t="n">
        <x:f>MAX($AG$10:$AG$209)</x:f>
        <x:v>4</x:v>
      </x:c>
      <x:c r="AQ30" t="n">
        <x:f>AG30</x:f>
        <x:v>3</x:v>
      </x:c>
      <x:c r="AR30" t="str">
        <x:f>C30</x:f>
        <x:v>Slangerup</x:v>
      </x:c>
      <x:c r="AS30" t="str">
        <x:f>E30</x:f>
        <x:v>Sjælland</x:v>
      </x:c>
    </x:row>
    <x:row r="31">
      <x:c r="A31" s="60" t="n">
        <x:f>IF(C31="","",COUNTIF($C$10:C31,"&lt;&gt;"))</x:f>
        <x:v>22</x:v>
      </x:c>
      <x:c r="B31" s="122" t="n">
        <x:v>46284</x:v>
      </x:c>
      <x:c r="C31" s="87" t="inlineStr">
        <x:is>
          <x:t xml:space="preserve">Slangerup</x:t>
        </x:is>
      </x:c>
      <x:c r="D31" s="87" t="inlineStr">
        <x:is>
          <x:t xml:space="preserve">Finale</x:t>
        </x:is>
      </x:c>
      <x:c r="E31" s="87" t="inlineStr">
        <x:is>
          <x:t xml:space="preserve">Sjælland</x:t>
        </x:is>
      </x:c>
      <x:c r="F31" s="87" t="inlineStr">
        <x:is>
          <x:t xml:space="preserve">Individuel turnering</x:t>
        </x:is>
      </x:c>
      <x:c r="G31" s="87" t="inlineStr">
        <x:is>
          <x:t xml:space="preserve">Single</x:t>
        </x:is>
      </x:c>
      <x:c r="H31" s="87" t="inlineStr">
        <x:is>
          <x:t xml:space="preserve">Vundet</x:t>
        </x:is>
      </x:c>
      <x:c r="I31" s="87" t="n"/>
      <x:c r="J31" s="87" t="n"/>
      <x:c r="K31" s="87" t="inlineStr">
        <x:is>
          <x:t xml:space="preserve">Alexander</x:t>
        </x:is>
      </x:c>
      <x:c r="L31" s="87" t="n">
        <x:v>1728</x:v>
      </x:c>
      <x:c r="M31" s="87" t="n"/>
      <x:c r="N31" s="87" t="n"/>
      <x:c r="O31" s="62" t="n">
        <x:f>IF(G31="","",IF(G31="Single",AH31,IF(G31="Double",AI31,AJ31)))</x:f>
        <x:v>1743</x:v>
      </x:c>
      <x:c r="P31" s="62" t="n">
        <x:f>IF(OR(G31="",H31="Ikke spillet"),"",IF(G31="Single",O31,IF(J31="","",(O31+J31)/2)))</x:f>
        <x:v>1743</x:v>
      </x:c>
      <x:c r="Q31" s="62" t="n">
        <x:f>IF(OR(G31="",H31="Ikke spillet"),"",IF(G31="Single",L31,IF(OR(L31="",N31=""),"",(L31+N31)/2)))</x:f>
        <x:v>1728</x:v>
      </x:c>
      <x:c r="R31" s="62" t="n">
        <x:f>IF(OR(P31="",Q31=""),"",Q31-P31)</x:f>
        <x:v>-15</x:v>
      </x:c>
      <x:c r="S31" s="62" t="str">
        <x:f>IF(H31="Ikke spillet","",IF(R31="","",IF(ABS(R31)&lt;0.000001,"Lige (0)",VLOOKUP(ABS(R31),'BD Pointtabel'!$A$4:$G$15,2,TRUE))))</x:f>
        <x:v>01-24</x:v>
      </x:c>
      <x:c r="T31" s="62" t="str">
        <x:f>IF(H31="Ikke spillet","Ikke spillet",IF(H31="Planlagt","Planlagt",IF(OR(H31="",P31="",Q31=""),"",IF(H31="Vundet",IF(R31&gt;0,"Uventet sejr","Ventet sejr"),IF(R31&gt;=0,"Ventet nederlag","Uventet nederlag")))))</x:f>
        <x:v>Ventet sejr</x:v>
      </x:c>
      <x:c r="U31" s="62" t="n">
        <x:f>IF(OR(H31="Ikke spillet",H31="Planlagt"),"",IF(OR(G31="",H31="",P31="",Q31=""),"",IF(AND(F31="Ungdomsholdturnering",OR(G31="Double",G31="Mix"),H31="Tabt"),0,IF(H31="Vundet",IF(R31&gt;0,VLOOKUP(ABS(R31),'BD Pointtabel'!$A$4:$G$15,4,TRUE),VLOOKUP(ABS(R31),'BD Pointtabel'!$A$4:$G$15,7,TRUE)),IF(R31&gt;=0,VLOOKUP(ABS(R31),'BD Pointtabel'!$A$4:$G$15,6,TRUE),VLOOKUP(ABS(R31),'BD Pointtabel'!$A$4:$G$15,3,TRUE))))))</x:f>
        <x:v>14</x:v>
      </x:c>
      <x:c r="V31" s="62" t="n">
        <x:f>IF(G31="","",SUMIFS($U$10:U31,$AG$10:AG31,AG31,$G$10:G31,G31))</x:f>
        <x:v>62</x:v>
      </x:c>
      <x:c r="W31" s="62" t="n">
        <x:f>IF(C31="","",IF(AN31&lt;&gt;1,"",IF(G31="Single",AA31,IF(G31="Double",AC31,AE31))))</x:f>
        <x:v>1805</x:v>
      </x:c>
      <x:c r="X31" s="62" t="n">
        <x:f>IF(C31="","",IF(AN31&lt;&gt;1,"",ROUND(((AA31*AB31+AC31*AD31+AE31*AF31)/(AB31+AD31+AF31))+IF((MAX(AA31,AC31,AE31)-(AA31+AC31+AE31-MAX(AA31,AC31,AE31)-MIN(AA31,AC31,AE31)))&lt;'Model &amp; indstillinger'!$E$16,'Model &amp; indstillinger'!$E$18,'Model &amp; indstillinger'!$E$20)*(MAX(AA31,AC31,AE31)-((AA31*AB31+AC31*AD31+AE31*AF31)/(AB31+AD31+AF31))),0)))</x:f>
        <x:v>1770</x:v>
      </x:c>
      <x:c r="Y31" s="62" t="n">
        <x:f>IF(X31="","",'Model &amp; indstillinger'!$B$4-X31)</x:f>
        <x:v>80</x:v>
      </x:c>
      <x:c r="Z31" s="62" t="str">
        <x:f>IF(C31="","",IF(H31="Planlagt","Planlagt – ingen point endnu",IF(H31="Ikke spillet","Ikke spillet – tæller ikke som kamp og giver ingen point",IF(AN31=1,"STÆVNE SLUT – samlet point tilskrives","Frosset pointgrundlag – ingen tilskrivning endnu"))))</x:f>
        <x:v>STÆVNE SLUT – samlet point tilskrives</x:v>
      </x:c>
      <x:c r="AA31" s="60" t="n">
        <x:f>IF(C31="","",'Model &amp; indstillinger'!$B$6+SUMIFS($U$10:U31,$G$10:G31,"Single"))</x:f>
        <x:v>1805</x:v>
      </x:c>
      <x:c r="AB31" s="60" t="n">
        <x:f>IF(C31="","",'Model &amp; indstillinger'!$B$7+COUNTIFS($G$10:G31,"Single",$AK$10:AK31,1))</x:f>
        <x:v>54</x:v>
      </x:c>
      <x:c r="AC31" s="60" t="n">
        <x:f>IF(C31="","",'Model &amp; indstillinger'!$B$8+SUMIFS($U$10:U31,$G$10:G31,"Double"))</x:f>
        <x:v>1734</x:v>
      </x:c>
      <x:c r="AD31" s="60" t="n">
        <x:f>IF(C31="","",'Model &amp; indstillinger'!$B$9+COUNTIFS($G$10:G31,"Double",$AK$10:AK31,1))</x:f>
        <x:v>52</x:v>
      </x:c>
      <x:c r="AE31" s="60" t="n">
        <x:f>IF(C31="","",'Model &amp; indstillinger'!$B$10+SUMIFS($U$10:U31,$G$10:G31,"Mix"))</x:f>
        <x:v>1386</x:v>
      </x:c>
      <x:c r="AF31" s="60" t="n">
        <x:f>IF(C31="","",'Model &amp; indstillinger'!$B$11+COUNTIFS($G$10:G31,"Mix",$AK$10:AK31,1))</x:f>
        <x:v>5</x:v>
      </x:c>
      <x:c r="AG31" s="60" t="n">
        <x:f>IF(C31="","",IF(C31=C30,AG30,AG30+1))</x:f>
        <x:v>3</x:v>
      </x:c>
      <x:c r="AH31" s="60" t="n">
        <x:f>IF(C31="","",IF(AG31=AG30,AH30,AA30))</x:f>
        <x:v>1743</x:v>
      </x:c>
      <x:c r="AI31" s="60" t="n">
        <x:f>IF(C31="","",IF(AG31=AG30,AI30,AC30))</x:f>
        <x:v>1695</x:v>
      </x:c>
      <x:c r="AJ31" s="60" t="n">
        <x:f>IF(C31="","",IF(AG31=AG30,AJ30,AE30))</x:f>
        <x:v>1386</x:v>
      </x:c>
      <x:c r="AK31" s="60" t="n">
        <x:f>IF(OR(H31="Vundet",H31="Tabt"),1,0)</x:f>
        <x:v>1</x:v>
      </x:c>
      <x:c r="AL31" s="60" t="n"/>
      <x:c r="AM31" s="60" t="n">
        <x:f>MAX($AG$10:$AG$209)</x:f>
        <x:v>4</x:v>
      </x:c>
      <x:c r="AN31" s="60" t="n">
        <x:f>IF(C31="","",IF(AND(C32&lt;&gt;"",C32&lt;&gt;C31),1,0))</x:f>
        <x:v>1</x:v>
      </x:c>
      <x:c r="AO31" s="60" t="n"/>
      <x:c r="AP31" s="60" t="n">
        <x:f>MAX($AG$10:$AG$209)</x:f>
        <x:v>4</x:v>
      </x:c>
      <x:c r="AQ31" t="n">
        <x:f>AG31</x:f>
        <x:v>3</x:v>
      </x:c>
      <x:c r="AR31" t="str">
        <x:f>C31</x:f>
        <x:v>Slangerup</x:v>
      </x:c>
      <x:c r="AS31" t="str">
        <x:f>E31</x:f>
        <x:v>Sjælland</x:v>
      </x:c>
    </x:row>
    <x:row r="32">
      <x:c r="A32" s="60" t="n">
        <x:f>IF(C32="","",COUNTIF($C$10:C32,"&lt;&gt;"))</x:f>
        <x:v>23</x:v>
      </x:c>
      <x:c r="B32" s="224" t="n">
        <x:v>46305</x:v>
      </x:c>
      <x:c r="C32" s="87" t="str">
        <x:v>Herlev/Hjorten</x:v>
      </x:c>
      <x:c r="D32" s="87" t="str">
        <x:v>Pulje</x:v>
      </x:c>
      <x:c r="E32" s="87" t="str">
        <x:v>Sjælland</x:v>
      </x:c>
      <x:c r="F32" s="87" t="str">
        <x:v>Individuel turnering</x:v>
      </x:c>
      <x:c r="G32" s="87" t="str">
        <x:v>Double</x:v>
      </x:c>
      <x:c r="H32" s="87" t="str">
        <x:v>Planlagt</x:v>
      </x:c>
      <x:c r="I32" s="87" t="str">
        <x:v>Malthe Wetke F. Hallgren</x:v>
      </x:c>
      <x:c r="J32" s="87" t="n">
        <x:v>1717</x:v>
      </x:c>
      <x:c r="K32" s="87" t="str">
        <x:v>Bastian Bæk-Sørensen</x:v>
      </x:c>
      <x:c r="L32" s="87" t="n">
        <x:v>1696</x:v>
      </x:c>
      <x:c r="M32" s="87" t="str">
        <x:v>Sihan Lei</x:v>
      </x:c>
      <x:c r="N32" s="87" t="n">
        <x:v>1521</x:v>
      </x:c>
      <x:c r="O32" s="62" t="n">
        <x:f>IF(G32="","",IF(G32="Single",AH32,IF(G32="Double",AI32,AJ32)))</x:f>
        <x:v>1734</x:v>
      </x:c>
      <x:c r="P32" s="62" t="n">
        <x:f>IF(OR(G32="",H32="Ikke spillet"),"",IF(G32="Single",O32,IF(J32="","",(O32+J32)/2)))</x:f>
        <x:v>1725.5</x:v>
      </x:c>
      <x:c r="Q32" s="62" t="n">
        <x:f>IF(OR(G32="",H32="Ikke spillet"),"",IF(G32="Single",L32,IF(OR(L32="",N32=""),"",(L32+N32)/2)))</x:f>
        <x:v>1608.5</x:v>
      </x:c>
      <x:c r="R32" s="62" t="n">
        <x:f>IF(OR(P32="",Q32=""),"",Q32-P32)</x:f>
        <x:v>-117</x:v>
      </x:c>
      <x:c r="S32" s="62" t="str">
        <x:f>IF(H32="Ikke spillet","",IF(R32="","",IF(ABS(R32)&lt;0.000001,"Lige (0)",VLOOKUP(ABS(R32),'BD Pointtabel'!$A$4:$G$15,2,TRUE))))</x:f>
        <x:v>100-149</x:v>
      </x:c>
      <x:c r="T32" s="62" t="str">
        <x:f>IF(H32="Ikke spillet","Ikke spillet",IF(H32="Planlagt","Planlagt",IF(OR(H32="",P32="",Q32=""),"",IF(H32="Vundet",IF(R32&gt;0,"Uventet sejr","Ventet sejr"),IF(R32&gt;=0,"Ventet nederlag","Uventet nederlag")))))</x:f>
        <x:v>Planlagt</x:v>
      </x:c>
      <x:c r="U32" s="62" t="str">
        <x:f>IF(OR(H32="Ikke spillet",H32="Planlagt"),"",IF(OR(G32="",H32="",P32="",Q32=""),"",IF(AND(F32="Ungdomsholdturnering",OR(G32="Double",G32="Mix"),H32="Tabt"),0,IF(H32="Vundet",IF(R32&gt;0,VLOOKUP(ABS(R32),'BD Pointtabel'!$A$4:$G$15,4,TRUE),VLOOKUP(ABS(R32),'BD Pointtabel'!$A$4:$G$15,7,TRUE)),IF(R32&gt;=0,VLOOKUP(ABS(R32),'BD Pointtabel'!$A$4:$G$15,6,TRUE),VLOOKUP(ABS(R32),'BD Pointtabel'!$A$4:$G$15,3,TRUE))))))</x:f>
      </x:c>
      <x:c r="V32" s="62" t="n">
        <x:f>IF(G32="","",SUMIFS($U$10:U32,$AG$10:AG32,AG32,$G$10:G32,G32))</x:f>
        <x:v>0</x:v>
      </x:c>
      <x:c r="W32" s="62" t="str">
        <x:f>IF(C32="","",IF(AN32&lt;&gt;1,"",IF(G32="Single",AA32,IF(G32="Double",AC32,AE32))))</x:f>
      </x:c>
      <x:c r="X32" s="62" t="str">
        <x:f>IF(C32="","",IF(AN32&lt;&gt;1,"",ROUND(((AA32*AB32+AC32*AD32+AE32*AF32)/(AB32+AD32+AF32))+IF((MAX(AA32,AC32,AE32)-(AA32+AC32+AE32-MAX(AA32,AC32,AE32)-MIN(AA32,AC32,AE32)))&lt;'Model &amp; indstillinger'!$E$16,'Model &amp; indstillinger'!$E$18,'Model &amp; indstillinger'!$E$20)*(MAX(AA32,AC32,AE32)-((AA32*AB32+AC32*AD32+AE32*AF32)/(AB32+AD32+AF32))),0)))</x:f>
      </x:c>
      <x:c r="Y32" s="62" t="str">
        <x:f>IF(X32="","",'Model &amp; indstillinger'!$B$4-X32)</x:f>
      </x:c>
      <x:c r="Z32" s="62" t="str">
        <x:f>IF(C32="","",IF(H32="Planlagt","Planlagt – ingen point endnu",IF(H32="Ikke spillet","Ikke spillet – tæller ikke som kamp og giver ingen point",IF(AN32=1,"STÆVNE SLUT – samlet point tilskrives","Frosset pointgrundlag – ingen tilskrivning endnu"))))</x:f>
        <x:v>Planlagt – ingen point endnu</x:v>
      </x:c>
      <x:c r="AA32" s="60" t="n">
        <x:f>IF(C32="","",'Model &amp; indstillinger'!$B$6+SUMIFS($U$10:U32,$G$10:G32,"Single"))</x:f>
        <x:v>1805</x:v>
      </x:c>
      <x:c r="AB32" s="60" t="n">
        <x:f>IF(C32="","",'Model &amp; indstillinger'!$B$7+COUNTIFS($G$10:G32,"Single",$AK$10:AK32,1))</x:f>
        <x:v>54</x:v>
      </x:c>
      <x:c r="AC32" s="60" t="n">
        <x:f>IF(C32="","",'Model &amp; indstillinger'!$B$8+SUMIFS($U$10:U32,$G$10:G32,"Double"))</x:f>
        <x:v>1734</x:v>
      </x:c>
      <x:c r="AD32" s="60" t="n">
        <x:f>IF(C32="","",'Model &amp; indstillinger'!$B$9+COUNTIFS($G$10:G32,"Double",$AK$10:AK32,1))</x:f>
        <x:v>52</x:v>
      </x:c>
      <x:c r="AE32" s="60" t="n">
        <x:f>IF(C32="","",'Model &amp; indstillinger'!$B$10+SUMIFS($U$10:U32,$G$10:G32,"Mix"))</x:f>
        <x:v>1386</x:v>
      </x:c>
      <x:c r="AF32" s="60" t="n">
        <x:f>IF(C32="","",'Model &amp; indstillinger'!$B$11+COUNTIFS($G$10:G32,"Mix",$AK$10:AK32,1))</x:f>
        <x:v>5</x:v>
      </x:c>
      <x:c r="AG32" s="60" t="n">
        <x:f>IF(C32="","",IF(C32=C31,AG31,AG31+1))</x:f>
        <x:v>4</x:v>
      </x:c>
      <x:c r="AH32" s="60" t="n">
        <x:f>IF(C32="","",IF(AG32=AG31,AH31,AA31))</x:f>
        <x:v>1805</x:v>
      </x:c>
      <x:c r="AI32" s="60" t="n">
        <x:f>IF(C32="","",IF(AG32=AG31,AI31,AC31))</x:f>
        <x:v>1734</x:v>
      </x:c>
      <x:c r="AJ32" s="60" t="n">
        <x:f>IF(C32="","",IF(AG32=AG31,AJ31,AE31))</x:f>
        <x:v>1386</x:v>
      </x:c>
      <x:c r="AK32" s="60" t="n">
        <x:f>IF(OR(H32="Vundet",H32="Tabt"),1,0)</x:f>
        <x:v>0</x:v>
      </x:c>
      <x:c r="AL32" s="60" t="n"/>
      <x:c r="AM32" s="60" t="n">
        <x:f>MAX($AG$10:$AG$209)</x:f>
        <x:v>4</x:v>
      </x:c>
      <x:c r="AN32" s="60" t="n">
        <x:f>IF(C32="","",IF(AND(C33&lt;&gt;"",C33&lt;&gt;C32),1,0))</x:f>
        <x:v>0</x:v>
      </x:c>
      <x:c r="AO32" s="60" t="n"/>
      <x:c r="AP32" s="60" t="n">
        <x:f>MAX($AG$10:$AG$209)</x:f>
        <x:v>4</x:v>
      </x:c>
      <x:c r="AQ32" t="n">
        <x:f>AG32</x:f>
        <x:v>4</x:v>
      </x:c>
      <x:c r="AR32" t="str">
        <x:f>C32</x:f>
        <x:v>Herlev/Hjorten</x:v>
      </x:c>
      <x:c r="AS32" t="str">
        <x:f>E32</x:f>
        <x:v>Sjælland</x:v>
      </x:c>
    </x:row>
    <x:row r="33">
      <x:c r="A33" s="60" t="n">
        <x:f>IF(C33="","",COUNTIF($C$10:C33,"&lt;&gt;"))</x:f>
        <x:v>24</x:v>
      </x:c>
      <x:c r="B33" s="224" t="n">
        <x:v>46305</x:v>
      </x:c>
      <x:c r="C33" s="87" t="str">
        <x:v>Herlev/Hjorten</x:v>
      </x:c>
      <x:c r="D33" s="87" t="str">
        <x:v>Pulje</x:v>
      </x:c>
      <x:c r="E33" s="87" t="str">
        <x:v>Sjælland</x:v>
      </x:c>
      <x:c r="F33" s="87" t="str">
        <x:v>Individuel turnering</x:v>
      </x:c>
      <x:c r="G33" s="87" t="str">
        <x:v>Double</x:v>
      </x:c>
      <x:c r="H33" s="87" t="str">
        <x:v>Planlagt</x:v>
      </x:c>
      <x:c r="I33" s="87" t="str">
        <x:v>Malthe Wetke F. Hallgren</x:v>
      </x:c>
      <x:c r="J33" s="87" t="n">
        <x:v>1717</x:v>
      </x:c>
      <x:c r="K33" s="87" t="str">
        <x:v>Milo Bastegaard</x:v>
      </x:c>
      <x:c r="L33" s="87" t="n">
        <x:v>1543</x:v>
      </x:c>
      <x:c r="M33" s="87" t="str">
        <x:v>Lui Grøndahl Mønsted</x:v>
      </x:c>
      <x:c r="N33" s="87" t="n">
        <x:v>1482</x:v>
      </x:c>
      <x:c r="O33" s="62" t="n">
        <x:f>IF(G33="","",IF(G33="Single",AH33,IF(G33="Double",AI33,AJ33)))</x:f>
        <x:v>1734</x:v>
      </x:c>
      <x:c r="P33" s="62" t="n">
        <x:f>IF(OR(G33="",H33="Ikke spillet"),"",IF(G33="Single",O33,IF(J33="","",(O33+J33)/2)))</x:f>
        <x:v>1725.5</x:v>
      </x:c>
      <x:c r="Q33" s="62" t="n">
        <x:f>IF(OR(G33="",H33="Ikke spillet"),"",IF(G33="Single",L33,IF(OR(L33="",N33=""),"",(L33+N33)/2)))</x:f>
        <x:v>1512.5</x:v>
      </x:c>
      <x:c r="R33" s="62" t="n">
        <x:f>IF(OR(P33="",Q33=""),"",Q33-P33)</x:f>
        <x:v>-213</x:v>
      </x:c>
      <x:c r="S33" s="62" t="str">
        <x:f>IF(H33="Ikke spillet","",IF(R33="","",IF(ABS(R33)&lt;0.000001,"Lige (0)",VLOOKUP(ABS(R33),'BD Pointtabel'!$A$4:$G$15,2,TRUE))))</x:f>
        <x:v>200-249</x:v>
      </x:c>
      <x:c r="T33" s="62" t="str">
        <x:f>IF(H33="Ikke spillet","Ikke spillet",IF(H33="Planlagt","Planlagt",IF(OR(H33="",P33="",Q33=""),"",IF(H33="Vundet",IF(R33&gt;0,"Uventet sejr","Ventet sejr"),IF(R33&gt;=0,"Ventet nederlag","Uventet nederlag")))))</x:f>
        <x:v>Planlagt</x:v>
      </x:c>
      <x:c r="U33" s="62" t="str">
        <x:f>IF(OR(H33="Ikke spillet",H33="Planlagt"),"",IF(OR(G33="",H33="",P33="",Q33=""),"",IF(AND(F33="Ungdomsholdturnering",OR(G33="Double",G33="Mix"),H33="Tabt"),0,IF(H33="Vundet",IF(R33&gt;0,VLOOKUP(ABS(R33),'BD Pointtabel'!$A$4:$G$15,4,TRUE),VLOOKUP(ABS(R33),'BD Pointtabel'!$A$4:$G$15,7,TRUE)),IF(R33&gt;=0,VLOOKUP(ABS(R33),'BD Pointtabel'!$A$4:$G$15,6,TRUE),VLOOKUP(ABS(R33),'BD Pointtabel'!$A$4:$G$15,3,TRUE))))))</x:f>
      </x:c>
      <x:c r="V33" s="62" t="n">
        <x:f>IF(G33="","",SUMIFS($U$10:U33,$AG$10:AG33,AG33,$G$10:G33,G33))</x:f>
        <x:v>0</x:v>
      </x:c>
      <x:c r="W33" s="62" t="str">
        <x:f>IF(C33="","",IF(AN33&lt;&gt;1,"",IF(G33="Single",AA33,IF(G33="Double",AC33,AE33))))</x:f>
      </x:c>
      <x:c r="X33" s="62" t="str">
        <x:f>IF(C33="","",IF(AN33&lt;&gt;1,"",ROUND(((AA33*AB33+AC33*AD33+AE33*AF33)/(AB33+AD33+AF33))+IF((MAX(AA33,AC33,AE33)-(AA33+AC33+AE33-MAX(AA33,AC33,AE33)-MIN(AA33,AC33,AE33)))&lt;'Model &amp; indstillinger'!$E$16,'Model &amp; indstillinger'!$E$18,'Model &amp; indstillinger'!$E$20)*(MAX(AA33,AC33,AE33)-((AA33*AB33+AC33*AD33+AE33*AF33)/(AB33+AD33+AF33))),0)))</x:f>
      </x:c>
      <x:c r="Y33" s="62" t="str">
        <x:f>IF(X33="","",'Model &amp; indstillinger'!$B$4-X33)</x:f>
      </x:c>
      <x:c r="Z33" s="62" t="str">
        <x:f>IF(C33="","",IF(H33="Planlagt","Planlagt – ingen point endnu",IF(H33="Ikke spillet","Ikke spillet – tæller ikke som kamp og giver ingen point",IF(AN33=1,"STÆVNE SLUT – samlet point tilskrives","Frosset pointgrundlag – ingen tilskrivning endnu"))))</x:f>
        <x:v>Planlagt – ingen point endnu</x:v>
      </x:c>
      <x:c r="AA33" s="60" t="n">
        <x:f>IF(C33="","",'Model &amp; indstillinger'!$B$6+SUMIFS($U$10:U33,$G$10:G33,"Single"))</x:f>
        <x:v>1805</x:v>
      </x:c>
      <x:c r="AB33" s="60" t="n">
        <x:f>IF(C33="","",'Model &amp; indstillinger'!$B$7+COUNTIFS($G$10:G33,"Single",$AK$10:AK33,1))</x:f>
        <x:v>54</x:v>
      </x:c>
      <x:c r="AC33" s="60" t="n">
        <x:f>IF(C33="","",'Model &amp; indstillinger'!$B$8+SUMIFS($U$10:U33,$G$10:G33,"Double"))</x:f>
        <x:v>1734</x:v>
      </x:c>
      <x:c r="AD33" s="60" t="n">
        <x:f>IF(C33="","",'Model &amp; indstillinger'!$B$9+COUNTIFS($G$10:G33,"Double",$AK$10:AK33,1))</x:f>
        <x:v>52</x:v>
      </x:c>
      <x:c r="AE33" s="60" t="n">
        <x:f>IF(C33="","",'Model &amp; indstillinger'!$B$10+SUMIFS($U$10:U33,$G$10:G33,"Mix"))</x:f>
        <x:v>1386</x:v>
      </x:c>
      <x:c r="AF33" s="60" t="n">
        <x:f>IF(C33="","",'Model &amp; indstillinger'!$B$11+COUNTIFS($G$10:G33,"Mix",$AK$10:AK33,1))</x:f>
        <x:v>5</x:v>
      </x:c>
      <x:c r="AG33" s="60" t="n">
        <x:f>IF(C33="","",IF(C33=C32,AG32,AG32+1))</x:f>
        <x:v>4</x:v>
      </x:c>
      <x:c r="AH33" s="60" t="n">
        <x:f>IF(C33="","",IF(AG33=AG32,AH32,AA32))</x:f>
        <x:v>1805</x:v>
      </x:c>
      <x:c r="AI33" s="60" t="n">
        <x:f>IF(C33="","",IF(AG33=AG32,AI32,AC32))</x:f>
        <x:v>1734</x:v>
      </x:c>
      <x:c r="AJ33" s="60" t="n">
        <x:f>IF(C33="","",IF(AG33=AG32,AJ32,AE32))</x:f>
        <x:v>1386</x:v>
      </x:c>
      <x:c r="AK33" s="60" t="n">
        <x:f>IF(OR(H33="Vundet",H33="Tabt"),1,0)</x:f>
        <x:v>0</x:v>
      </x:c>
      <x:c r="AL33" s="60" t="n"/>
      <x:c r="AM33" s="60" t="n">
        <x:f>MAX($AG$10:$AG$209)</x:f>
        <x:v>4</x:v>
      </x:c>
      <x:c r="AN33" s="60" t="n">
        <x:f>IF(C33="","",IF(AND(C34&lt;&gt;"",C34&lt;&gt;C33),1,0))</x:f>
        <x:v>0</x:v>
      </x:c>
      <x:c r="AO33" s="60" t="n"/>
      <x:c r="AP33" s="60" t="n">
        <x:f>MAX($AG$10:$AG$209)</x:f>
        <x:v>4</x:v>
      </x:c>
      <x:c r="AQ33" t="n">
        <x:f>AG33</x:f>
        <x:v>4</x:v>
      </x:c>
      <x:c r="AR33" t="str">
        <x:f>C33</x:f>
        <x:v>Herlev/Hjorten</x:v>
      </x:c>
      <x:c r="AS33" t="str">
        <x:f>E33</x:f>
        <x:v>Sjælland</x:v>
      </x:c>
    </x:row>
    <x:row r="34">
      <x:c r="A34" s="60" t="n">
        <x:f>IF(C34="","",COUNTIF($C$10:C34,"&lt;&gt;"))</x:f>
        <x:v>25</x:v>
      </x:c>
      <x:c r="B34" s="224" t="n">
        <x:v>46305</x:v>
      </x:c>
      <x:c r="C34" s="87" t="str">
        <x:v>Herlev/Hjorten</x:v>
      </x:c>
      <x:c r="D34" s="87" t="str">
        <x:v>Pulje</x:v>
      </x:c>
      <x:c r="E34" s="87" t="str">
        <x:v>Sjælland</x:v>
      </x:c>
      <x:c r="F34" s="87" t="str">
        <x:v>Individuel turnering</x:v>
      </x:c>
      <x:c r="G34" s="87" t="str">
        <x:v>Double</x:v>
      </x:c>
      <x:c r="H34" s="87" t="str">
        <x:v>Planlagt</x:v>
      </x:c>
      <x:c r="I34" s="87" t="str">
        <x:v>Malthe Wetke F. Hallgren</x:v>
      </x:c>
      <x:c r="J34" s="87" t="n">
        <x:v>1717</x:v>
      </x:c>
      <x:c r="K34" s="87" t="str">
        <x:v>Yichen Cao</x:v>
      </x:c>
      <x:c r="L34" s="87" t="n">
        <x:v>1254</x:v>
      </x:c>
      <x:c r="M34" s="87" t="str">
        <x:v>Jonathan Nørgaard</x:v>
      </x:c>
      <x:c r="N34" s="87" t="n">
        <x:v>1669</x:v>
      </x:c>
      <x:c r="O34" s="62" t="n">
        <x:f>IF(G34="","",IF(G34="Single",AH34,IF(G34="Double",AI34,AJ34)))</x:f>
        <x:v>1734</x:v>
      </x:c>
      <x:c r="P34" s="62" t="n">
        <x:f>IF(OR(G34="",H34="Ikke spillet"),"",IF(G34="Single",O34,IF(J34="","",(O34+J34)/2)))</x:f>
        <x:v>1725.5</x:v>
      </x:c>
      <x:c r="Q34" s="62" t="n">
        <x:f>IF(OR(G34="",H34="Ikke spillet"),"",IF(G34="Single",L34,IF(OR(L34="",N34=""),"",(L34+N34)/2)))</x:f>
        <x:v>1461.5</x:v>
      </x:c>
      <x:c r="R34" s="62" t="n">
        <x:f>IF(OR(P34="",Q34=""),"",Q34-P34)</x:f>
        <x:v>-264</x:v>
      </x:c>
      <x:c r="S34" s="62" t="str">
        <x:f>IF(H34="Ikke spillet","",IF(R34="","",IF(ABS(R34)&lt;0.000001,"Lige (0)",VLOOKUP(ABS(R34),'BD Pointtabel'!$A$4:$G$15,2,TRUE))))</x:f>
        <x:v>250-299</x:v>
      </x:c>
      <x:c r="T34" s="62" t="str">
        <x:f>IF(H34="Ikke spillet","Ikke spillet",IF(H34="Planlagt","Planlagt",IF(OR(H34="",P34="",Q34=""),"",IF(H34="Vundet",IF(R34&gt;0,"Uventet sejr","Ventet sejr"),IF(R34&gt;=0,"Ventet nederlag","Uventet nederlag")))))</x:f>
        <x:v>Planlagt</x:v>
      </x:c>
      <x:c r="U34" s="62" t="str">
        <x:f>IF(OR(H34="Ikke spillet",H34="Planlagt"),"",IF(OR(G34="",H34="",P34="",Q34=""),"",IF(AND(F34="Ungdomsholdturnering",OR(G34="Double",G34="Mix"),H34="Tabt"),0,IF(H34="Vundet",IF(R34&gt;0,VLOOKUP(ABS(R34),'BD Pointtabel'!$A$4:$G$15,4,TRUE),VLOOKUP(ABS(R34),'BD Pointtabel'!$A$4:$G$15,7,TRUE)),IF(R34&gt;=0,VLOOKUP(ABS(R34),'BD Pointtabel'!$A$4:$G$15,6,TRUE),VLOOKUP(ABS(R34),'BD Pointtabel'!$A$4:$G$15,3,TRUE))))))</x:f>
      </x:c>
      <x:c r="V34" s="62" t="n">
        <x:f>IF(G34="","",SUMIFS($U$10:U34,$AG$10:AG34,AG34,$G$10:G34,G34))</x:f>
        <x:v>0</x:v>
      </x:c>
      <x:c r="W34" s="62" t="str">
        <x:f>IF(C34="","",IF(AN34&lt;&gt;1,"",IF(G34="Single",AA34,IF(G34="Double",AC34,AE34))))</x:f>
      </x:c>
      <x:c r="X34" s="62" t="str">
        <x:f>IF(C34="","",IF(AN34&lt;&gt;1,"",ROUND(((AA34*AB34+AC34*AD34+AE34*AF34)/(AB34+AD34+AF34))+IF((MAX(AA34,AC34,AE34)-(AA34+AC34+AE34-MAX(AA34,AC34,AE34)-MIN(AA34,AC34,AE34)))&lt;'Model &amp; indstillinger'!$E$16,'Model &amp; indstillinger'!$E$18,'Model &amp; indstillinger'!$E$20)*(MAX(AA34,AC34,AE34)-((AA34*AB34+AC34*AD34+AE34*AF34)/(AB34+AD34+AF34))),0)))</x:f>
      </x:c>
      <x:c r="Y34" s="62" t="str">
        <x:f>IF(X34="","",'Model &amp; indstillinger'!$B$4-X34)</x:f>
      </x:c>
      <x:c r="Z34" s="62" t="str">
        <x:f>IF(C34="","",IF(H34="Planlagt","Planlagt – ingen point endnu",IF(H34="Ikke spillet","Ikke spillet – tæller ikke som kamp og giver ingen point",IF(AN34=1,"STÆVNE SLUT – samlet point tilskrives","Frosset pointgrundlag – ingen tilskrivning endnu"))))</x:f>
        <x:v>Planlagt – ingen point endnu</x:v>
      </x:c>
      <x:c r="AA34" s="60" t="n">
        <x:f>IF(C34="","",'Model &amp; indstillinger'!$B$6+SUMIFS($U$10:U34,$G$10:G34,"Single"))</x:f>
        <x:v>1805</x:v>
      </x:c>
      <x:c r="AB34" s="60" t="n">
        <x:f>IF(C34="","",'Model &amp; indstillinger'!$B$7+COUNTIFS($G$10:G34,"Single",$AK$10:AK34,1))</x:f>
        <x:v>54</x:v>
      </x:c>
      <x:c r="AC34" s="60" t="n">
        <x:f>IF(C34="","",'Model &amp; indstillinger'!$B$8+SUMIFS($U$10:U34,$G$10:G34,"Double"))</x:f>
        <x:v>1734</x:v>
      </x:c>
      <x:c r="AD34" s="60" t="n">
        <x:f>IF(C34="","",'Model &amp; indstillinger'!$B$9+COUNTIFS($G$10:G34,"Double",$AK$10:AK34,1))</x:f>
        <x:v>52</x:v>
      </x:c>
      <x:c r="AE34" s="60" t="n">
        <x:f>IF(C34="","",'Model &amp; indstillinger'!$B$10+SUMIFS($U$10:U34,$G$10:G34,"Mix"))</x:f>
        <x:v>1386</x:v>
      </x:c>
      <x:c r="AF34" s="60" t="n">
        <x:f>IF(C34="","",'Model &amp; indstillinger'!$B$11+COUNTIFS($G$10:G34,"Mix",$AK$10:AK34,1))</x:f>
        <x:v>5</x:v>
      </x:c>
      <x:c r="AG34" s="60" t="n">
        <x:f>IF(C34="","",IF(C34=C33,AG33,AG33+1))</x:f>
        <x:v>4</x:v>
      </x:c>
      <x:c r="AH34" s="60" t="n">
        <x:f>IF(C34="","",IF(AG34=AG33,AH33,AA33))</x:f>
        <x:v>1805</x:v>
      </x:c>
      <x:c r="AI34" s="60" t="n">
        <x:f>IF(C34="","",IF(AG34=AG33,AI33,AC33))</x:f>
        <x:v>1734</x:v>
      </x:c>
      <x:c r="AJ34" s="60" t="n">
        <x:f>IF(C34="","",IF(AG34=AG33,AJ33,AE33))</x:f>
        <x:v>1386</x:v>
      </x:c>
      <x:c r="AK34" s="60" t="n">
        <x:f>IF(OR(H34="Vundet",H34="Tabt"),1,0)</x:f>
        <x:v>0</x:v>
      </x:c>
      <x:c r="AL34" s="60" t="n"/>
      <x:c r="AM34" s="60" t="n">
        <x:f>MAX($AG$10:$AG$209)</x:f>
        <x:v>4</x:v>
      </x:c>
      <x:c r="AN34" s="60" t="n">
        <x:f>IF(C34="","",IF(AND(C35&lt;&gt;"",C35&lt;&gt;C34),1,0))</x:f>
        <x:v>0</x:v>
      </x:c>
      <x:c r="AO34" s="60" t="n"/>
      <x:c r="AP34" s="60" t="n">
        <x:f>MAX($AG$10:$AG$209)</x:f>
        <x:v>4</x:v>
      </x:c>
      <x:c r="AQ34" t="n">
        <x:f>AG34</x:f>
        <x:v>4</x:v>
      </x:c>
      <x:c r="AR34" t="str">
        <x:f>C34</x:f>
        <x:v>Herlev/Hjorten</x:v>
      </x:c>
      <x:c r="AS34" t="str">
        <x:f>E34</x:f>
        <x:v>Sjælland</x:v>
      </x:c>
    </x:row>
    <x:row r="35">
      <x:c r="A35" s="60" t="str">
        <x:f>IF(C35="","",COUNTIF($C$10:C35,"&lt;&gt;"))</x:f>
      </x:c>
      <x:c r="B35" s="122" t="n"/>
      <x:c r="C35" s="87" t="n"/>
      <x:c r="D35" s="87" t="n"/>
      <x:c r="E35" s="87" t="n"/>
      <x:c r="F35" s="87" t="n"/>
      <x:c r="G35" s="87" t="n"/>
      <x:c r="H35" s="87" t="n"/>
      <x:c r="I35" s="87" t="n"/>
      <x:c r="J35" s="87" t="n"/>
      <x:c r="K35" s="87" t="n"/>
      <x:c r="L35" s="87" t="n"/>
      <x:c r="M35" s="87" t="n"/>
      <x:c r="N35" s="87" t="n"/>
      <x:c r="O35" s="62" t="str">
        <x:f>IF(G35="","",IF(G35="Single",AH35,IF(G35="Double",AI35,AJ35)))</x:f>
      </x:c>
      <x:c r="P35" s="62" t="str">
        <x:f>IF(OR(G35="",H35="Ikke spillet"),"",IF(G35="Single",O35,IF(J35="","",(O35+J35)/2)))</x:f>
      </x:c>
      <x:c r="Q35" s="62" t="str">
        <x:f>IF(OR(G35="",H35="Ikke spillet"),"",IF(G35="Single",L35,IF(OR(L35="",N35=""),"",(L35+N35)/2)))</x:f>
      </x:c>
      <x:c r="R35" s="62" t="str">
        <x:f>IF(OR(P35="",Q35=""),"",Q35-P35)</x:f>
      </x:c>
      <x:c r="S35" s="62" t="str">
        <x:f>IF(H35="Ikke spillet","",IF(R35="","",IF(ABS(R35)&lt;0.000001,"Lige (0)",VLOOKUP(ABS(R35),'BD Pointtabel'!$A$4:$G$15,2,TRUE))))</x:f>
      </x:c>
      <x:c r="T35" s="62" t="str">
        <x:f>IF(H35="Ikke spillet","Ikke spillet",IF(H35="Planlagt","Planlagt",IF(OR(H35="",P35="",Q35=""),"",IF(H35="Vundet",IF(R35&gt;0,"Uventet sejr","Ventet sejr"),IF(R35&gt;=0,"Ventet nederlag","Uventet nederlag")))))</x:f>
      </x:c>
      <x:c r="U35" s="62" t="str">
        <x:f>IF(OR(H35="Ikke spillet",H35="Planlagt"),"",IF(OR(G35="",H35="",P35="",Q35=""),"",IF(AND(F35="Ungdomsholdturnering",OR(G35="Double",G35="Mix"),H35="Tabt"),0,IF(H35="Vundet",IF(R35&gt;0,VLOOKUP(ABS(R35),'BD Pointtabel'!$A$4:$G$15,4,TRUE),VLOOKUP(ABS(R35),'BD Pointtabel'!$A$4:$G$15,7,TRUE)),IF(R35&gt;=0,VLOOKUP(ABS(R35),'BD Pointtabel'!$A$4:$G$15,6,TRUE),VLOOKUP(ABS(R35),'BD Pointtabel'!$A$4:$G$15,3,TRUE))))))</x:f>
      </x:c>
      <x:c r="V35" s="62" t="str">
        <x:f>IF(G35="","",SUMIFS($U$10:U35,$AG$10:AG35,AG35,$G$10:G35,G35))</x:f>
      </x:c>
      <x:c r="W35" s="62" t="str">
        <x:f>IF(C35="","",IF(AN35&lt;&gt;1,"",IF(G35="Single",AA35,IF(G35="Double",AC35,AE35))))</x:f>
      </x:c>
      <x:c r="X35" s="62" t="str">
        <x:f>IF(C35="","",IF(AN35&lt;&gt;1,"",ROUND(((AA35*AB35+AC35*AD35+AE35*AF35)/(AB35+AD35+AF35))+IF((MAX(AA35,AC35,AE35)-(AA35+AC35+AE35-MAX(AA35,AC35,AE35)-MIN(AA35,AC35,AE35)))&lt;'Model &amp; indstillinger'!$E$16,'Model &amp; indstillinger'!$E$18,'Model &amp; indstillinger'!$E$20)*(MAX(AA35,AC35,AE35)-((AA35*AB35+AC35*AD35+AE35*AF35)/(AB35+AD35+AF35))),0)))</x:f>
      </x:c>
      <x:c r="Y35" s="62" t="str">
        <x:f>IF(X35="","",'Model &amp; indstillinger'!$B$4-X35)</x:f>
      </x:c>
      <x:c r="Z35" s="62" t="str">
        <x:f>IF(C35="","",IF(H35="Planlagt","Planlagt – ingen point endnu",IF(H35="Ikke spillet","Ikke spillet – tæller ikke som kamp og giver ingen point",IF(AN35=1,"STÆVNE SLUT – samlet point tilskrives","Frosset pointgrundlag – ingen tilskrivning endnu"))))</x:f>
      </x:c>
      <x:c r="AA35" s="60" t="str">
        <x:f>IF(C35="","",'Model &amp; indstillinger'!$B$6+SUMIFS($U$10:U35,$G$10:G35,"Single"))</x:f>
      </x:c>
      <x:c r="AB35" s="60" t="str">
        <x:f>IF(C35="","",'Model &amp; indstillinger'!$B$7+COUNTIFS($G$10:G35,"Single",$AK$10:AK35,1))</x:f>
      </x:c>
      <x:c r="AC35" s="60" t="str">
        <x:f>IF(C35="","",'Model &amp; indstillinger'!$B$8+SUMIFS($U$10:U35,$G$10:G35,"Double"))</x:f>
      </x:c>
      <x:c r="AD35" s="60" t="str">
        <x:f>IF(C35="","",'Model &amp; indstillinger'!$B$9+COUNTIFS($G$10:G35,"Double",$AK$10:AK35,1))</x:f>
      </x:c>
      <x:c r="AE35" s="60" t="str">
        <x:f>IF(C35="","",'Model &amp; indstillinger'!$B$10+SUMIFS($U$10:U35,$G$10:G35,"Mix"))</x:f>
      </x:c>
      <x:c r="AF35" s="60" t="str">
        <x:f>IF(C35="","",'Model &amp; indstillinger'!$B$11+COUNTIFS($G$10:G35,"Mix",$AK$10:AK35,1))</x:f>
      </x:c>
      <x:c r="AG35" s="60" t="str">
        <x:f>IF(C35="","",IF(C35=C34,AG34,AG34+1))</x:f>
      </x:c>
      <x:c r="AH35" s="60" t="str">
        <x:f>IF(C35="","",IF(AG35=AG34,AH34,AA34))</x:f>
      </x:c>
      <x:c r="AI35" s="60" t="str">
        <x:f>IF(C35="","",IF(AG35=AG34,AI34,AC34))</x:f>
      </x:c>
      <x:c r="AJ35" s="60" t="str">
        <x:f>IF(C35="","",IF(AG35=AG34,AJ34,AE34))</x:f>
      </x:c>
      <x:c r="AK35" s="60" t="n">
        <x:f>IF(OR(H35="Vundet",H35="Tabt"),1,0)</x:f>
        <x:v>0</x:v>
      </x:c>
      <x:c r="AL35" s="60" t="n"/>
      <x:c r="AM35" s="60" t="n">
        <x:f>MAX($AG$10:$AG$209)</x:f>
        <x:v>4</x:v>
      </x:c>
      <x:c r="AN35" s="60" t="str">
        <x:f>IF(C35="","",IF(AND(C36&lt;&gt;"",C36&lt;&gt;C35),1,0))</x:f>
      </x:c>
      <x:c r="AO35" s="60" t="n"/>
      <x:c r="AP35" s="60" t="n">
        <x:f>MAX($AG$10:$AG$209)</x:f>
        <x:v>4</x:v>
      </x:c>
      <x:c r="AQ35" t="str">
        <x:f>AG35</x:f>
      </x:c>
      <x:c r="AR35" t="n">
        <x:f>C35</x:f>
        <x:v>0</x:v>
      </x:c>
      <x:c r="AS35" t="n">
        <x:f>E35</x:f>
        <x:v>0</x:v>
      </x:c>
    </x:row>
    <x:row r="36">
      <x:c r="A36" s="60" t="str">
        <x:f>IF(C36="","",COUNTIF($C$10:C36,"&lt;&gt;"))</x:f>
      </x:c>
      <x:c r="B36" s="122" t="n"/>
      <x:c r="C36" s="87" t="n"/>
      <x:c r="D36" s="87" t="n"/>
      <x:c r="E36" s="87" t="n"/>
      <x:c r="F36" s="87" t="n"/>
      <x:c r="G36" s="87" t="n"/>
      <x:c r="H36" s="87" t="n"/>
      <x:c r="I36" s="87" t="n"/>
      <x:c r="J36" s="87" t="n"/>
      <x:c r="K36" s="87" t="n"/>
      <x:c r="L36" s="87" t="n"/>
      <x:c r="M36" s="87" t="n"/>
      <x:c r="N36" s="87" t="n"/>
      <x:c r="O36" s="62" t="str">
        <x:f>IF(G36="","",IF(G36="Single",AH36,IF(G36="Double",AI36,AJ36)))</x:f>
      </x:c>
      <x:c r="P36" s="62" t="str">
        <x:f>IF(OR(G36="",H36="Ikke spillet"),"",IF(G36="Single",O36,IF(J36="","",(O36+J36)/2)))</x:f>
      </x:c>
      <x:c r="Q36" s="62" t="str">
        <x:f>IF(OR(G36="",H36="Ikke spillet"),"",IF(G36="Single",L36,IF(OR(L36="",N36=""),"",(L36+N36)/2)))</x:f>
      </x:c>
      <x:c r="R36" s="62" t="str">
        <x:f>IF(OR(P36="",Q36=""),"",Q36-P36)</x:f>
      </x:c>
      <x:c r="S36" s="62" t="str">
        <x:f>IF(H36="Ikke spillet","",IF(R36="","",IF(ABS(R36)&lt;0.000001,"Lige (0)",VLOOKUP(ABS(R36),'BD Pointtabel'!$A$4:$G$15,2,TRUE))))</x:f>
      </x:c>
      <x:c r="T36" s="62" t="str">
        <x:f>IF(H36="Ikke spillet","Ikke spillet",IF(H36="Planlagt","Planlagt",IF(OR(H36="",P36="",Q36=""),"",IF(H36="Vundet",IF(R36&gt;0,"Uventet sejr","Ventet sejr"),IF(R36&gt;=0,"Ventet nederlag","Uventet nederlag")))))</x:f>
      </x:c>
      <x:c r="U36" s="62" t="str">
        <x:f>IF(OR(H36="Ikke spillet",H36="Planlagt"),"",IF(OR(G36="",H36="",P36="",Q36=""),"",IF(AND(F36="Ungdomsholdturnering",OR(G36="Double",G36="Mix"),H36="Tabt"),0,IF(H36="Vundet",IF(R36&gt;0,VLOOKUP(ABS(R36),'BD Pointtabel'!$A$4:$G$15,4,TRUE),VLOOKUP(ABS(R36),'BD Pointtabel'!$A$4:$G$15,7,TRUE)),IF(R36&gt;=0,VLOOKUP(ABS(R36),'BD Pointtabel'!$A$4:$G$15,6,TRUE),VLOOKUP(ABS(R36),'BD Pointtabel'!$A$4:$G$15,3,TRUE))))))</x:f>
      </x:c>
      <x:c r="V36" s="62" t="str">
        <x:f>IF(G36="","",SUMIFS($U$10:U36,$AG$10:AG36,AG36,$G$10:G36,G36))</x:f>
      </x:c>
      <x:c r="W36" s="62" t="str">
        <x:f>IF(C36="","",IF(AN36&lt;&gt;1,"",IF(G36="Single",AA36,IF(G36="Double",AC36,AE36))))</x:f>
      </x:c>
      <x:c r="X36" s="62" t="str">
        <x:f>IF(C36="","",IF(AN36&lt;&gt;1,"",ROUND(((AA36*AB36+AC36*AD36+AE36*AF36)/(AB36+AD36+AF36))+IF((MAX(AA36,AC36,AE36)-(AA36+AC36+AE36-MAX(AA36,AC36,AE36)-MIN(AA36,AC36,AE36)))&lt;'Model &amp; indstillinger'!$E$16,'Model &amp; indstillinger'!$E$18,'Model &amp; indstillinger'!$E$20)*(MAX(AA36,AC36,AE36)-((AA36*AB36+AC36*AD36+AE36*AF36)/(AB36+AD36+AF36))),0)))</x:f>
      </x:c>
      <x:c r="Y36" s="62" t="str">
        <x:f>IF(X36="","",'Model &amp; indstillinger'!$B$4-X36)</x:f>
      </x:c>
      <x:c r="Z36" s="62" t="str">
        <x:f>IF(C36="","",IF(H36="Planlagt","Planlagt – ingen point endnu",IF(H36="Ikke spillet","Ikke spillet – tæller ikke som kamp og giver ingen point",IF(AN36=1,"STÆVNE SLUT – samlet point tilskrives","Frosset pointgrundlag – ingen tilskrivning endnu"))))</x:f>
      </x:c>
      <x:c r="AA36" s="60" t="str">
        <x:f>IF(C36="","",'Model &amp; indstillinger'!$B$6+SUMIFS($U$10:U36,$G$10:G36,"Single"))</x:f>
      </x:c>
      <x:c r="AB36" s="60" t="str">
        <x:f>IF(C36="","",'Model &amp; indstillinger'!$B$7+COUNTIFS($G$10:G36,"Single",$AK$10:AK36,1))</x:f>
      </x:c>
      <x:c r="AC36" s="60" t="str">
        <x:f>IF(C36="","",'Model &amp; indstillinger'!$B$8+SUMIFS($U$10:U36,$G$10:G36,"Double"))</x:f>
      </x:c>
      <x:c r="AD36" s="60" t="str">
        <x:f>IF(C36="","",'Model &amp; indstillinger'!$B$9+COUNTIFS($G$10:G36,"Double",$AK$10:AK36,1))</x:f>
      </x:c>
      <x:c r="AE36" s="60" t="str">
        <x:f>IF(C36="","",'Model &amp; indstillinger'!$B$10+SUMIFS($U$10:U36,$G$10:G36,"Mix"))</x:f>
      </x:c>
      <x:c r="AF36" s="60" t="str">
        <x:f>IF(C36="","",'Model &amp; indstillinger'!$B$11+COUNTIFS($G$10:G36,"Mix",$AK$10:AK36,1))</x:f>
      </x:c>
      <x:c r="AG36" s="60" t="str">
        <x:f>IF(C36="","",IF(C36=C35,AG35,AG35+1))</x:f>
      </x:c>
      <x:c r="AH36" s="60" t="str">
        <x:f>IF(C36="","",IF(AG36=AG35,AH35,AA35))</x:f>
      </x:c>
      <x:c r="AI36" s="60" t="str">
        <x:f>IF(C36="","",IF(AG36=AG35,AI35,AC35))</x:f>
      </x:c>
      <x:c r="AJ36" s="60" t="str">
        <x:f>IF(C36="","",IF(AG36=AG35,AJ35,AE35))</x:f>
      </x:c>
      <x:c r="AK36" s="60" t="n">
        <x:f>IF(OR(H36="Vundet",H36="Tabt"),1,0)</x:f>
        <x:v>0</x:v>
      </x:c>
      <x:c r="AL36" s="60" t="n"/>
      <x:c r="AM36" s="60" t="n">
        <x:f>MAX($AG$10:$AG$209)</x:f>
        <x:v>4</x:v>
      </x:c>
      <x:c r="AN36" s="60" t="str">
        <x:f>IF(C36="","",IF(AND(C37&lt;&gt;"",C37&lt;&gt;C36),1,0))</x:f>
      </x:c>
      <x:c r="AO36" s="60" t="n"/>
      <x:c r="AP36" s="60" t="n">
        <x:f>MAX($AG$10:$AG$209)</x:f>
        <x:v>4</x:v>
      </x:c>
      <x:c r="AQ36" t="str">
        <x:f>AG36</x:f>
      </x:c>
      <x:c r="AR36" t="n">
        <x:f>C36</x:f>
        <x:v>0</x:v>
      </x:c>
      <x:c r="AS36" t="n">
        <x:f>E36</x:f>
        <x:v>0</x:v>
      </x:c>
    </x:row>
    <x:row r="37">
      <x:c r="A37" s="60" t="str">
        <x:f>IF(C37="","",COUNTIF($C$10:C37,"&lt;&gt;"))</x:f>
      </x:c>
      <x:c r="B37" s="122" t="n"/>
      <x:c r="C37" s="87" t="n"/>
      <x:c r="D37" s="87" t="n"/>
      <x:c r="E37" s="87" t="n"/>
      <x:c r="F37" s="87" t="n"/>
      <x:c r="G37" s="87" t="n"/>
      <x:c r="H37" s="87" t="n"/>
      <x:c r="I37" s="87" t="n"/>
      <x:c r="J37" s="87" t="n"/>
      <x:c r="K37" s="87" t="n"/>
      <x:c r="L37" s="87" t="n"/>
      <x:c r="M37" s="87" t="n"/>
      <x:c r="N37" s="87" t="n"/>
      <x:c r="O37" s="62" t="str">
        <x:f>IF(G37="","",IF(G37="Single",AH37,IF(G37="Double",AI37,AJ37)))</x:f>
      </x:c>
      <x:c r="P37" s="62" t="str">
        <x:f>IF(OR(G37="",H37="Ikke spillet"),"",IF(G37="Single",O37,IF(J37="","",(O37+J37)/2)))</x:f>
      </x:c>
      <x:c r="Q37" s="62" t="str">
        <x:f>IF(OR(G37="",H37="Ikke spillet"),"",IF(G37="Single",L37,IF(OR(L37="",N37=""),"",(L37+N37)/2)))</x:f>
      </x:c>
      <x:c r="R37" s="62" t="str">
        <x:f>IF(OR(P37="",Q37=""),"",Q37-P37)</x:f>
      </x:c>
      <x:c r="S37" s="62" t="str">
        <x:f>IF(H37="Ikke spillet","",IF(R37="","",IF(ABS(R37)&lt;0.000001,"Lige (0)",VLOOKUP(ABS(R37),'BD Pointtabel'!$A$4:$G$15,2,TRUE))))</x:f>
      </x:c>
      <x:c r="T37" s="62" t="str">
        <x:f>IF(H37="Ikke spillet","Ikke spillet",IF(H37="Planlagt","Planlagt",IF(OR(H37="",P37="",Q37=""),"",IF(H37="Vundet",IF(R37&gt;0,"Uventet sejr","Ventet sejr"),IF(R37&gt;=0,"Ventet nederlag","Uventet nederlag")))))</x:f>
      </x:c>
      <x:c r="U37" s="62" t="str">
        <x:f>IF(OR(H37="Ikke spillet",H37="Planlagt"),"",IF(OR(G37="",H37="",P37="",Q37=""),"",IF(AND(F37="Ungdomsholdturnering",OR(G37="Double",G37="Mix"),H37="Tabt"),0,IF(H37="Vundet",IF(R37&gt;0,VLOOKUP(ABS(R37),'BD Pointtabel'!$A$4:$G$15,4,TRUE),VLOOKUP(ABS(R37),'BD Pointtabel'!$A$4:$G$15,7,TRUE)),IF(R37&gt;=0,VLOOKUP(ABS(R37),'BD Pointtabel'!$A$4:$G$15,6,TRUE),VLOOKUP(ABS(R37),'BD Pointtabel'!$A$4:$G$15,3,TRUE))))))</x:f>
      </x:c>
      <x:c r="V37" s="62" t="str">
        <x:f>IF(G37="","",SUMIFS($U$10:U37,$AG$10:AG37,AG37,$G$10:G37,G37))</x:f>
      </x:c>
      <x:c r="W37" s="62" t="str">
        <x:f>IF(C37="","",IF(AN37&lt;&gt;1,"",IF(G37="Single",AA37,IF(G37="Double",AC37,AE37))))</x:f>
      </x:c>
      <x:c r="X37" s="62" t="str">
        <x:f>IF(C37="","",IF(AN37&lt;&gt;1,"",ROUND(((AA37*AB37+AC37*AD37+AE37*AF37)/(AB37+AD37+AF37))+IF((MAX(AA37,AC37,AE37)-(AA37+AC37+AE37-MAX(AA37,AC37,AE37)-MIN(AA37,AC37,AE37)))&lt;'Model &amp; indstillinger'!$E$16,'Model &amp; indstillinger'!$E$18,'Model &amp; indstillinger'!$E$20)*(MAX(AA37,AC37,AE37)-((AA37*AB37+AC37*AD37+AE37*AF37)/(AB37+AD37+AF37))),0)))</x:f>
      </x:c>
      <x:c r="Y37" s="62" t="str">
        <x:f>IF(X37="","",'Model &amp; indstillinger'!$B$4-X37)</x:f>
      </x:c>
      <x:c r="Z37" s="62" t="str">
        <x:f>IF(C37="","",IF(H37="Planlagt","Planlagt – ingen point endnu",IF(H37="Ikke spillet","Ikke spillet – tæller ikke som kamp og giver ingen point",IF(AN37=1,"STÆVNE SLUT – samlet point tilskrives","Frosset pointgrundlag – ingen tilskrivning endnu"))))</x:f>
      </x:c>
      <x:c r="AA37" s="60" t="str">
        <x:f>IF(C37="","",'Model &amp; indstillinger'!$B$6+SUMIFS($U$10:U37,$G$10:G37,"Single"))</x:f>
      </x:c>
      <x:c r="AB37" s="60" t="str">
        <x:f>IF(C37="","",'Model &amp; indstillinger'!$B$7+COUNTIFS($G$10:G37,"Single",$AK$10:AK37,1))</x:f>
      </x:c>
      <x:c r="AC37" s="60" t="str">
        <x:f>IF(C37="","",'Model &amp; indstillinger'!$B$8+SUMIFS($U$10:U37,$G$10:G37,"Double"))</x:f>
      </x:c>
      <x:c r="AD37" s="60" t="str">
        <x:f>IF(C37="","",'Model &amp; indstillinger'!$B$9+COUNTIFS($G$10:G37,"Double",$AK$10:AK37,1))</x:f>
      </x:c>
      <x:c r="AE37" s="60" t="str">
        <x:f>IF(C37="","",'Model &amp; indstillinger'!$B$10+SUMIFS($U$10:U37,$G$10:G37,"Mix"))</x:f>
      </x:c>
      <x:c r="AF37" s="60" t="str">
        <x:f>IF(C37="","",'Model &amp; indstillinger'!$B$11+COUNTIFS($G$10:G37,"Mix",$AK$10:AK37,1))</x:f>
      </x:c>
      <x:c r="AG37" s="60" t="str">
        <x:f>IF(C37="","",IF(C37=C36,AG36,AG36+1))</x:f>
      </x:c>
      <x:c r="AH37" s="60" t="str">
        <x:f>IF(C37="","",IF(AG37=AG36,AH36,AA36))</x:f>
      </x:c>
      <x:c r="AI37" s="60" t="str">
        <x:f>IF(C37="","",IF(AG37=AG36,AI36,AC36))</x:f>
      </x:c>
      <x:c r="AJ37" s="60" t="str">
        <x:f>IF(C37="","",IF(AG37=AG36,AJ36,AE36))</x:f>
      </x:c>
      <x:c r="AK37" s="60" t="n">
        <x:f>IF(OR(H37="Vundet",H37="Tabt"),1,0)</x:f>
        <x:v>0</x:v>
      </x:c>
      <x:c r="AL37" s="60" t="n"/>
      <x:c r="AM37" s="60" t="n">
        <x:f>MAX($AG$10:$AG$209)</x:f>
        <x:v>4</x:v>
      </x:c>
      <x:c r="AN37" s="60" t="str">
        <x:f>IF(C37="","",IF(AND(C38&lt;&gt;"",C38&lt;&gt;C37),1,0))</x:f>
      </x:c>
      <x:c r="AO37" s="60" t="n"/>
      <x:c r="AP37" s="60" t="n">
        <x:f>MAX($AG$10:$AG$209)</x:f>
        <x:v>4</x:v>
      </x:c>
      <x:c r="AQ37" t="str">
        <x:f>AG37</x:f>
      </x:c>
      <x:c r="AR37" t="n">
        <x:f>C37</x:f>
        <x:v>0</x:v>
      </x:c>
      <x:c r="AS37" t="n">
        <x:f>E37</x:f>
        <x:v>0</x:v>
      </x:c>
    </x:row>
    <x:row r="38">
      <x:c r="A38" s="60" t="str">
        <x:f>IF(C38="","",COUNTIF($C$10:C38,"&lt;&gt;"))</x:f>
      </x:c>
      <x:c r="B38" s="122" t="n"/>
      <x:c r="C38" s="87" t="n"/>
      <x:c r="D38" s="87" t="n"/>
      <x:c r="E38" s="87" t="n"/>
      <x:c r="F38" s="87" t="n"/>
      <x:c r="G38" s="87" t="n"/>
      <x:c r="H38" s="87" t="n"/>
      <x:c r="I38" s="87" t="n"/>
      <x:c r="J38" s="87" t="n"/>
      <x:c r="K38" s="87" t="n"/>
      <x:c r="L38" s="87" t="n"/>
      <x:c r="M38" s="87" t="n"/>
      <x:c r="N38" s="87" t="n"/>
      <x:c r="O38" s="62" t="str">
        <x:f>IF(G38="","",IF(G38="Single",AH38,IF(G38="Double",AI38,AJ38)))</x:f>
      </x:c>
      <x:c r="P38" s="62" t="str">
        <x:f>IF(OR(G38="",H38="Ikke spillet"),"",IF(G38="Single",O38,IF(J38="","",(O38+J38)/2)))</x:f>
      </x:c>
      <x:c r="Q38" s="62" t="str">
        <x:f>IF(OR(G38="",H38="Ikke spillet"),"",IF(G38="Single",L38,IF(OR(L38="",N38=""),"",(L38+N38)/2)))</x:f>
      </x:c>
      <x:c r="R38" s="62" t="str">
        <x:f>IF(OR(P38="",Q38=""),"",Q38-P38)</x:f>
      </x:c>
      <x:c r="S38" s="62" t="str">
        <x:f>IF(H38="Ikke spillet","",IF(R38="","",IF(ABS(R38)&lt;0.000001,"Lige (0)",VLOOKUP(ABS(R38),'BD Pointtabel'!$A$4:$G$15,2,TRUE))))</x:f>
      </x:c>
      <x:c r="T38" s="62" t="str">
        <x:f>IF(H38="Ikke spillet","Ikke spillet",IF(H38="Planlagt","Planlagt",IF(OR(H38="",P38="",Q38=""),"",IF(H38="Vundet",IF(R38&gt;0,"Uventet sejr","Ventet sejr"),IF(R38&gt;=0,"Ventet nederlag","Uventet nederlag")))))</x:f>
      </x:c>
      <x:c r="U38" s="62" t="str">
        <x:f>IF(OR(H38="Ikke spillet",H38="Planlagt"),"",IF(OR(G38="",H38="",P38="",Q38=""),"",IF(AND(F38="Ungdomsholdturnering",OR(G38="Double",G38="Mix"),H38="Tabt"),0,IF(H38="Vundet",IF(R38&gt;0,VLOOKUP(ABS(R38),'BD Pointtabel'!$A$4:$G$15,4,TRUE),VLOOKUP(ABS(R38),'BD Pointtabel'!$A$4:$G$15,7,TRUE)),IF(R38&gt;=0,VLOOKUP(ABS(R38),'BD Pointtabel'!$A$4:$G$15,6,TRUE),VLOOKUP(ABS(R38),'BD Pointtabel'!$A$4:$G$15,3,TRUE))))))</x:f>
      </x:c>
      <x:c r="V38" s="62" t="str">
        <x:f>IF(G38="","",SUMIFS($U$10:U38,$AG$10:AG38,AG38,$G$10:G38,G38))</x:f>
      </x:c>
      <x:c r="W38" s="62" t="str">
        <x:f>IF(C38="","",IF(AN38&lt;&gt;1,"",IF(G38="Single",AA38,IF(G38="Double",AC38,AE38))))</x:f>
      </x:c>
      <x:c r="X38" s="62" t="str">
        <x:f>IF(C38="","",IF(AN38&lt;&gt;1,"",ROUND(((AA38*AB38+AC38*AD38+AE38*AF38)/(AB38+AD38+AF38))+IF((MAX(AA38,AC38,AE38)-(AA38+AC38+AE38-MAX(AA38,AC38,AE38)-MIN(AA38,AC38,AE38)))&lt;'Model &amp; indstillinger'!$E$16,'Model &amp; indstillinger'!$E$18,'Model &amp; indstillinger'!$E$20)*(MAX(AA38,AC38,AE38)-((AA38*AB38+AC38*AD38+AE38*AF38)/(AB38+AD38+AF38))),0)))</x:f>
      </x:c>
      <x:c r="Y38" s="62" t="str">
        <x:f>IF(X38="","",'Model &amp; indstillinger'!$B$4-X38)</x:f>
      </x:c>
      <x:c r="Z38" s="62" t="str">
        <x:f>IF(C38="","",IF(H38="Planlagt","Planlagt – ingen point endnu",IF(H38="Ikke spillet","Ikke spillet – tæller ikke som kamp og giver ingen point",IF(AN38=1,"STÆVNE SLUT – samlet point tilskrives","Frosset pointgrundlag – ingen tilskrivning endnu"))))</x:f>
      </x:c>
      <x:c r="AA38" s="60" t="str">
        <x:f>IF(C38="","",'Model &amp; indstillinger'!$B$6+SUMIFS($U$10:U38,$G$10:G38,"Single"))</x:f>
      </x:c>
      <x:c r="AB38" s="60" t="str">
        <x:f>IF(C38="","",'Model &amp; indstillinger'!$B$7+COUNTIFS($G$10:G38,"Single",$AK$10:AK38,1))</x:f>
      </x:c>
      <x:c r="AC38" s="60" t="str">
        <x:f>IF(C38="","",'Model &amp; indstillinger'!$B$8+SUMIFS($U$10:U38,$G$10:G38,"Double"))</x:f>
      </x:c>
      <x:c r="AD38" s="60" t="str">
        <x:f>IF(C38="","",'Model &amp; indstillinger'!$B$9+COUNTIFS($G$10:G38,"Double",$AK$10:AK38,1))</x:f>
      </x:c>
      <x:c r="AE38" s="60" t="str">
        <x:f>IF(C38="","",'Model &amp; indstillinger'!$B$10+SUMIFS($U$10:U38,$G$10:G38,"Mix"))</x:f>
      </x:c>
      <x:c r="AF38" s="60" t="str">
        <x:f>IF(C38="","",'Model &amp; indstillinger'!$B$11+COUNTIFS($G$10:G38,"Mix",$AK$10:AK38,1))</x:f>
      </x:c>
      <x:c r="AG38" s="60" t="str">
        <x:f>IF(C38="","",IF(C38=C37,AG37,AG37+1))</x:f>
      </x:c>
      <x:c r="AH38" s="60" t="str">
        <x:f>IF(C38="","",IF(AG38=AG37,AH37,AA37))</x:f>
      </x:c>
      <x:c r="AI38" s="60" t="str">
        <x:f>IF(C38="","",IF(AG38=AG37,AI37,AC37))</x:f>
      </x:c>
      <x:c r="AJ38" s="60" t="str">
        <x:f>IF(C38="","",IF(AG38=AG37,AJ37,AE37))</x:f>
      </x:c>
      <x:c r="AK38" s="60" t="n">
        <x:f>IF(OR(H38="Vundet",H38="Tabt"),1,0)</x:f>
        <x:v>0</x:v>
      </x:c>
      <x:c r="AL38" s="60" t="n"/>
      <x:c r="AM38" s="60" t="n">
        <x:f>MAX($AG$10:$AG$209)</x:f>
        <x:v>4</x:v>
      </x:c>
      <x:c r="AN38" s="60" t="str">
        <x:f>IF(C38="","",IF(AND(C39&lt;&gt;"",C39&lt;&gt;C38),1,0))</x:f>
      </x:c>
      <x:c r="AO38" s="60" t="n"/>
      <x:c r="AP38" s="60" t="n">
        <x:f>MAX($AG$10:$AG$209)</x:f>
        <x:v>4</x:v>
      </x:c>
      <x:c r="AQ38" t="str">
        <x:f>AG38</x:f>
      </x:c>
      <x:c r="AR38" t="n">
        <x:f>C38</x:f>
        <x:v>0</x:v>
      </x:c>
      <x:c r="AS38" t="n">
        <x:f>E38</x:f>
        <x:v>0</x:v>
      </x:c>
    </x:row>
    <x:row r="39">
      <x:c r="A39" s="60" t="str">
        <x:f>IF(C39="","",COUNTIF($C$10:C39,"&lt;&gt;"))</x:f>
      </x:c>
      <x:c r="B39" s="122" t="n"/>
      <x:c r="C39" s="87" t="n"/>
      <x:c r="D39" s="87" t="n"/>
      <x:c r="E39" s="87" t="n"/>
      <x:c r="F39" s="87" t="n"/>
      <x:c r="G39" s="87" t="n"/>
      <x:c r="H39" s="87" t="n"/>
      <x:c r="I39" s="87" t="n"/>
      <x:c r="J39" s="87" t="n"/>
      <x:c r="K39" s="87" t="n"/>
      <x:c r="L39" s="87" t="n"/>
      <x:c r="M39" s="87" t="n"/>
      <x:c r="N39" s="87" t="n"/>
      <x:c r="O39" s="62" t="str">
        <x:f>IF(G39="","",IF(G39="Single",AH39,IF(G39="Double",AI39,AJ39)))</x:f>
      </x:c>
      <x:c r="P39" s="62" t="str">
        <x:f>IF(OR(G39="",H39="Ikke spillet"),"",IF(G39="Single",O39,IF(J39="","",(O39+J39)/2)))</x:f>
      </x:c>
      <x:c r="Q39" s="62" t="str">
        <x:f>IF(OR(G39="",H39="Ikke spillet"),"",IF(G39="Single",L39,IF(OR(L39="",N39=""),"",(L39+N39)/2)))</x:f>
      </x:c>
      <x:c r="R39" s="62" t="str">
        <x:f>IF(OR(P39="",Q39=""),"",Q39-P39)</x:f>
      </x:c>
      <x:c r="S39" s="62" t="str">
        <x:f>IF(H39="Ikke spillet","",IF(R39="","",IF(ABS(R39)&lt;0.000001,"Lige (0)",VLOOKUP(ABS(R39),'BD Pointtabel'!$A$4:$G$15,2,TRUE))))</x:f>
      </x:c>
      <x:c r="T39" s="62" t="str">
        <x:f>IF(H39="Ikke spillet","Ikke spillet",IF(H39="Planlagt","Planlagt",IF(OR(H39="",P39="",Q39=""),"",IF(H39="Vundet",IF(R39&gt;0,"Uventet sejr","Ventet sejr"),IF(R39&gt;=0,"Ventet nederlag","Uventet nederlag")))))</x:f>
      </x:c>
      <x:c r="U39" s="62" t="str">
        <x:f>IF(OR(H39="Ikke spillet",H39="Planlagt"),"",IF(OR(G39="",H39="",P39="",Q39=""),"",IF(AND(F39="Ungdomsholdturnering",OR(G39="Double",G39="Mix"),H39="Tabt"),0,IF(H39="Vundet",IF(R39&gt;0,VLOOKUP(ABS(R39),'BD Pointtabel'!$A$4:$G$15,4,TRUE),VLOOKUP(ABS(R39),'BD Pointtabel'!$A$4:$G$15,7,TRUE)),IF(R39&gt;=0,VLOOKUP(ABS(R39),'BD Pointtabel'!$A$4:$G$15,6,TRUE),VLOOKUP(ABS(R39),'BD Pointtabel'!$A$4:$G$15,3,TRUE))))))</x:f>
      </x:c>
      <x:c r="V39" s="62" t="str">
        <x:f>IF(G39="","",SUMIFS($U$10:U39,$AG$10:AG39,AG39,$G$10:G39,G39))</x:f>
      </x:c>
      <x:c r="W39" s="62" t="str">
        <x:f>IF(C39="","",IF(AN39&lt;&gt;1,"",IF(G39="Single",AA39,IF(G39="Double",AC39,AE39))))</x:f>
      </x:c>
      <x:c r="X39" s="62" t="str">
        <x:f>IF(C39="","",IF(AN39&lt;&gt;1,"",ROUND(((AA39*AB39+AC39*AD39+AE39*AF39)/(AB39+AD39+AF39))+IF((MAX(AA39,AC39,AE39)-(AA39+AC39+AE39-MAX(AA39,AC39,AE39)-MIN(AA39,AC39,AE39)))&lt;'Model &amp; indstillinger'!$E$16,'Model &amp; indstillinger'!$E$18,'Model &amp; indstillinger'!$E$20)*(MAX(AA39,AC39,AE39)-((AA39*AB39+AC39*AD39+AE39*AF39)/(AB39+AD39+AF39))),0)))</x:f>
      </x:c>
      <x:c r="Y39" s="62" t="str">
        <x:f>IF(X39="","",'Model &amp; indstillinger'!$B$4-X39)</x:f>
      </x:c>
      <x:c r="Z39" s="62" t="str">
        <x:f>IF(C39="","",IF(H39="Planlagt","Planlagt – ingen point endnu",IF(H39="Ikke spillet","Ikke spillet – tæller ikke som kamp og giver ingen point",IF(AN39=1,"STÆVNE SLUT – samlet point tilskrives","Frosset pointgrundlag – ingen tilskrivning endnu"))))</x:f>
      </x:c>
      <x:c r="AA39" s="60" t="str">
        <x:f>IF(C39="","",'Model &amp; indstillinger'!$B$6+SUMIFS($U$10:U39,$G$10:G39,"Single"))</x:f>
      </x:c>
      <x:c r="AB39" s="60" t="str">
        <x:f>IF(C39="","",'Model &amp; indstillinger'!$B$7+COUNTIFS($G$10:G39,"Single",$AK$10:AK39,1))</x:f>
      </x:c>
      <x:c r="AC39" s="60" t="str">
        <x:f>IF(C39="","",'Model &amp; indstillinger'!$B$8+SUMIFS($U$10:U39,$G$10:G39,"Double"))</x:f>
      </x:c>
      <x:c r="AD39" s="60" t="str">
        <x:f>IF(C39="","",'Model &amp; indstillinger'!$B$9+COUNTIFS($G$10:G39,"Double",$AK$10:AK39,1))</x:f>
      </x:c>
      <x:c r="AE39" s="60" t="str">
        <x:f>IF(C39="","",'Model &amp; indstillinger'!$B$10+SUMIFS($U$10:U39,$G$10:G39,"Mix"))</x:f>
      </x:c>
      <x:c r="AF39" s="60" t="str">
        <x:f>IF(C39="","",'Model &amp; indstillinger'!$B$11+COUNTIFS($G$10:G39,"Mix",$AK$10:AK39,1))</x:f>
      </x:c>
      <x:c r="AG39" s="60" t="str">
        <x:f>IF(C39="","",IF(C39=C38,AG38,AG38+1))</x:f>
      </x:c>
      <x:c r="AH39" s="60" t="str">
        <x:f>IF(C39="","",IF(AG39=AG38,AH38,AA38))</x:f>
      </x:c>
      <x:c r="AI39" s="60" t="str">
        <x:f>IF(C39="","",IF(AG39=AG38,AI38,AC38))</x:f>
      </x:c>
      <x:c r="AJ39" s="60" t="str">
        <x:f>IF(C39="","",IF(AG39=AG38,AJ38,AE38))</x:f>
      </x:c>
      <x:c r="AK39" s="60" t="n">
        <x:f>IF(OR(H39="Vundet",H39="Tabt"),1,0)</x:f>
        <x:v>0</x:v>
      </x:c>
      <x:c r="AL39" s="60" t="n"/>
      <x:c r="AM39" s="60" t="n">
        <x:f>MAX($AG$10:$AG$209)</x:f>
        <x:v>4</x:v>
      </x:c>
      <x:c r="AN39" s="60" t="str">
        <x:f>IF(C39="","",IF(AND(C40&lt;&gt;"",C40&lt;&gt;C39),1,0))</x:f>
      </x:c>
      <x:c r="AO39" s="60" t="n"/>
      <x:c r="AP39" s="60" t="n">
        <x:f>MAX($AG$10:$AG$209)</x:f>
        <x:v>4</x:v>
      </x:c>
      <x:c r="AQ39" t="str">
        <x:f>AG39</x:f>
      </x:c>
      <x:c r="AR39" t="n">
        <x:f>C39</x:f>
        <x:v>0</x:v>
      </x:c>
      <x:c r="AS39" t="n">
        <x:f>E39</x:f>
        <x:v>0</x:v>
      </x:c>
    </x:row>
    <x:row r="40">
      <x:c r="A40" s="60" t="str">
        <x:f>IF(C40="","",COUNTIF($C$10:C40,"&lt;&gt;"))</x:f>
      </x:c>
      <x:c r="B40" s="122" t="n"/>
      <x:c r="C40" s="87" t="n"/>
      <x:c r="D40" s="87" t="n"/>
      <x:c r="E40" s="87" t="n"/>
      <x:c r="F40" s="87" t="n"/>
      <x:c r="G40" s="87" t="n"/>
      <x:c r="H40" s="87" t="n"/>
      <x:c r="I40" s="87" t="n"/>
      <x:c r="J40" s="87" t="n"/>
      <x:c r="K40" s="87" t="n"/>
      <x:c r="L40" s="87" t="n"/>
      <x:c r="M40" s="87" t="n"/>
      <x:c r="N40" s="87" t="n"/>
      <x:c r="O40" s="62" t="str">
        <x:f>IF(G40="","",IF(G40="Single",AH40,IF(G40="Double",AI40,AJ40)))</x:f>
      </x:c>
      <x:c r="P40" s="62" t="str">
        <x:f>IF(OR(G40="",H40="Ikke spillet"),"",IF(G40="Single",O40,IF(J40="","",(O40+J40)/2)))</x:f>
      </x:c>
      <x:c r="Q40" s="62" t="str">
        <x:f>IF(OR(G40="",H40="Ikke spillet"),"",IF(G40="Single",L40,IF(OR(L40="",N40=""),"",(L40+N40)/2)))</x:f>
      </x:c>
      <x:c r="R40" s="62" t="str">
        <x:f>IF(OR(P40="",Q40=""),"",Q40-P40)</x:f>
      </x:c>
      <x:c r="S40" s="62" t="str">
        <x:f>IF(H40="Ikke spillet","",IF(R40="","",IF(ABS(R40)&lt;0.000001,"Lige (0)",VLOOKUP(ABS(R40),'BD Pointtabel'!$A$4:$G$15,2,TRUE))))</x:f>
      </x:c>
      <x:c r="T40" s="62" t="str">
        <x:f>IF(H40="Ikke spillet","Ikke spillet",IF(H40="Planlagt","Planlagt",IF(OR(H40="",P40="",Q40=""),"",IF(H40="Vundet",IF(R40&gt;0,"Uventet sejr","Ventet sejr"),IF(R40&gt;=0,"Ventet nederlag","Uventet nederlag")))))</x:f>
      </x:c>
      <x:c r="U40" s="62" t="str">
        <x:f>IF(OR(H40="Ikke spillet",H40="Planlagt"),"",IF(OR(G40="",H40="",P40="",Q40=""),"",IF(AND(F40="Ungdomsholdturnering",OR(G40="Double",G40="Mix"),H40="Tabt"),0,IF(H40="Vundet",IF(R40&gt;0,VLOOKUP(ABS(R40),'BD Pointtabel'!$A$4:$G$15,4,TRUE),VLOOKUP(ABS(R40),'BD Pointtabel'!$A$4:$G$15,7,TRUE)),IF(R40&gt;=0,VLOOKUP(ABS(R40),'BD Pointtabel'!$A$4:$G$15,6,TRUE),VLOOKUP(ABS(R40),'BD Pointtabel'!$A$4:$G$15,3,TRUE))))))</x:f>
      </x:c>
      <x:c r="V40" s="62" t="str">
        <x:f>IF(G40="","",SUMIFS($U$10:U40,$AG$10:AG40,AG40,$G$10:G40,G40))</x:f>
      </x:c>
      <x:c r="W40" s="62" t="str">
        <x:f>IF(C40="","",IF(AN40&lt;&gt;1,"",IF(G40="Single",AA40,IF(G40="Double",AC40,AE40))))</x:f>
      </x:c>
      <x:c r="X40" s="62" t="str">
        <x:f>IF(C40="","",IF(AN40&lt;&gt;1,"",ROUND(((AA40*AB40+AC40*AD40+AE40*AF40)/(AB40+AD40+AF40))+IF((MAX(AA40,AC40,AE40)-(AA40+AC40+AE40-MAX(AA40,AC40,AE40)-MIN(AA40,AC40,AE40)))&lt;'Model &amp; indstillinger'!$E$16,'Model &amp; indstillinger'!$E$18,'Model &amp; indstillinger'!$E$20)*(MAX(AA40,AC40,AE40)-((AA40*AB40+AC40*AD40+AE40*AF40)/(AB40+AD40+AF40))),0)))</x:f>
      </x:c>
      <x:c r="Y40" s="62" t="str">
        <x:f>IF(X40="","",'Model &amp; indstillinger'!$B$4-X40)</x:f>
      </x:c>
      <x:c r="Z40" s="62" t="str">
        <x:f>IF(C40="","",IF(H40="Planlagt","Planlagt – ingen point endnu",IF(H40="Ikke spillet","Ikke spillet – tæller ikke som kamp og giver ingen point",IF(AN40=1,"STÆVNE SLUT – samlet point tilskrives","Frosset pointgrundlag – ingen tilskrivning endnu"))))</x:f>
      </x:c>
      <x:c r="AA40" s="60" t="str">
        <x:f>IF(C40="","",'Model &amp; indstillinger'!$B$6+SUMIFS($U$10:U40,$G$10:G40,"Single"))</x:f>
      </x:c>
      <x:c r="AB40" s="60" t="str">
        <x:f>IF(C40="","",'Model &amp; indstillinger'!$B$7+COUNTIFS($G$10:G40,"Single",$AK$10:AK40,1))</x:f>
      </x:c>
      <x:c r="AC40" s="60" t="str">
        <x:f>IF(C40="","",'Model &amp; indstillinger'!$B$8+SUMIFS($U$10:U40,$G$10:G40,"Double"))</x:f>
      </x:c>
      <x:c r="AD40" s="60" t="str">
        <x:f>IF(C40="","",'Model &amp; indstillinger'!$B$9+COUNTIFS($G$10:G40,"Double",$AK$10:AK40,1))</x:f>
      </x:c>
      <x:c r="AE40" s="60" t="str">
        <x:f>IF(C40="","",'Model &amp; indstillinger'!$B$10+SUMIFS($U$10:U40,$G$10:G40,"Mix"))</x:f>
      </x:c>
      <x:c r="AF40" s="60" t="str">
        <x:f>IF(C40="","",'Model &amp; indstillinger'!$B$11+COUNTIFS($G$10:G40,"Mix",$AK$10:AK40,1))</x:f>
      </x:c>
      <x:c r="AG40" s="60" t="str">
        <x:f>IF(C40="","",IF(C40=C39,AG39,AG39+1))</x:f>
      </x:c>
      <x:c r="AH40" s="60" t="str">
        <x:f>IF(C40="","",IF(AG40=AG39,AH39,AA39))</x:f>
      </x:c>
      <x:c r="AI40" s="60" t="str">
        <x:f>IF(C40="","",IF(AG40=AG39,AI39,AC39))</x:f>
      </x:c>
      <x:c r="AJ40" s="60" t="str">
        <x:f>IF(C40="","",IF(AG40=AG39,AJ39,AE39))</x:f>
      </x:c>
      <x:c r="AK40" s="60" t="n">
        <x:f>IF(OR(H40="Vundet",H40="Tabt"),1,0)</x:f>
        <x:v>0</x:v>
      </x:c>
      <x:c r="AL40" s="60" t="n"/>
      <x:c r="AM40" s="60" t="n">
        <x:f>MAX($AG$10:$AG$209)</x:f>
        <x:v>4</x:v>
      </x:c>
      <x:c r="AN40" s="60" t="str">
        <x:f>IF(C40="","",IF(AND(C41&lt;&gt;"",C41&lt;&gt;C40),1,0))</x:f>
      </x:c>
      <x:c r="AO40" s="60" t="n"/>
      <x:c r="AP40" s="60" t="n">
        <x:f>MAX($AG$10:$AG$209)</x:f>
        <x:v>4</x:v>
      </x:c>
      <x:c r="AQ40" t="str">
        <x:f>AG40</x:f>
      </x:c>
      <x:c r="AR40" t="n">
        <x:f>C40</x:f>
        <x:v>0</x:v>
      </x:c>
      <x:c r="AS40" t="n">
        <x:f>E40</x:f>
        <x:v>0</x:v>
      </x:c>
    </x:row>
    <x:row r="41">
      <x:c r="A41" s="60" t="str">
        <x:f>IF(C41="","",COUNTIF($C$10:C41,"&lt;&gt;"))</x:f>
      </x:c>
      <x:c r="B41" s="122" t="n"/>
      <x:c r="C41" s="87" t="n"/>
      <x:c r="D41" s="87" t="n"/>
      <x:c r="E41" s="87" t="n"/>
      <x:c r="F41" s="87" t="n"/>
      <x:c r="G41" s="87" t="n"/>
      <x:c r="H41" s="87" t="n"/>
      <x:c r="I41" s="87" t="n"/>
      <x:c r="J41" s="87" t="n"/>
      <x:c r="K41" s="87" t="n"/>
      <x:c r="L41" s="87" t="n"/>
      <x:c r="M41" s="87" t="n"/>
      <x:c r="N41" s="87" t="n"/>
      <x:c r="O41" s="62" t="str">
        <x:f>IF(G41="","",IF(G41="Single",AH41,IF(G41="Double",AI41,AJ41)))</x:f>
      </x:c>
      <x:c r="P41" s="62" t="str">
        <x:f>IF(OR(G41="",H41="Ikke spillet"),"",IF(G41="Single",O41,IF(J41="","",(O41+J41)/2)))</x:f>
      </x:c>
      <x:c r="Q41" s="62" t="str">
        <x:f>IF(OR(G41="",H41="Ikke spillet"),"",IF(G41="Single",L41,IF(OR(L41="",N41=""),"",(L41+N41)/2)))</x:f>
      </x:c>
      <x:c r="R41" s="62" t="str">
        <x:f>IF(OR(P41="",Q41=""),"",Q41-P41)</x:f>
      </x:c>
      <x:c r="S41" s="62" t="str">
        <x:f>IF(H41="Ikke spillet","",IF(R41="","",IF(ABS(R41)&lt;0.000001,"Lige (0)",VLOOKUP(ABS(R41),'BD Pointtabel'!$A$4:$G$15,2,TRUE))))</x:f>
      </x:c>
      <x:c r="T41" s="62" t="str">
        <x:f>IF(H41="Ikke spillet","Ikke spillet",IF(H41="Planlagt","Planlagt",IF(OR(H41="",P41="",Q41=""),"",IF(H41="Vundet",IF(R41&gt;0,"Uventet sejr","Ventet sejr"),IF(R41&gt;=0,"Ventet nederlag","Uventet nederlag")))))</x:f>
      </x:c>
      <x:c r="U41" s="62" t="str">
        <x:f>IF(OR(H41="Ikke spillet",H41="Planlagt"),"",IF(OR(G41="",H41="",P41="",Q41=""),"",IF(AND(F41="Ungdomsholdturnering",OR(G41="Double",G41="Mix"),H41="Tabt"),0,IF(H41="Vundet",IF(R41&gt;0,VLOOKUP(ABS(R41),'BD Pointtabel'!$A$4:$G$15,4,TRUE),VLOOKUP(ABS(R41),'BD Pointtabel'!$A$4:$G$15,7,TRUE)),IF(R41&gt;=0,VLOOKUP(ABS(R41),'BD Pointtabel'!$A$4:$G$15,6,TRUE),VLOOKUP(ABS(R41),'BD Pointtabel'!$A$4:$G$15,3,TRUE))))))</x:f>
      </x:c>
      <x:c r="V41" s="62" t="str">
        <x:f>IF(G41="","",SUMIFS($U$10:U41,$AG$10:AG41,AG41,$G$10:G41,G41))</x:f>
      </x:c>
      <x:c r="W41" s="62" t="str">
        <x:f>IF(C41="","",IF(AN41&lt;&gt;1,"",IF(G41="Single",AA41,IF(G41="Double",AC41,AE41))))</x:f>
      </x:c>
      <x:c r="X41" s="62" t="str">
        <x:f>IF(C41="","",IF(AN41&lt;&gt;1,"",ROUND(((AA41*AB41+AC41*AD41+AE41*AF41)/(AB41+AD41+AF41))+IF((MAX(AA41,AC41,AE41)-(AA41+AC41+AE41-MAX(AA41,AC41,AE41)-MIN(AA41,AC41,AE41)))&lt;'Model &amp; indstillinger'!$E$16,'Model &amp; indstillinger'!$E$18,'Model &amp; indstillinger'!$E$20)*(MAX(AA41,AC41,AE41)-((AA41*AB41+AC41*AD41+AE41*AF41)/(AB41+AD41+AF41))),0)))</x:f>
      </x:c>
      <x:c r="Y41" s="62" t="str">
        <x:f>IF(X41="","",'Model &amp; indstillinger'!$B$4-X41)</x:f>
      </x:c>
      <x:c r="Z41" s="62" t="str">
        <x:f>IF(C41="","",IF(H41="Planlagt","Planlagt – ingen point endnu",IF(H41="Ikke spillet","Ikke spillet – tæller ikke som kamp og giver ingen point",IF(AN41=1,"STÆVNE SLUT – samlet point tilskrives","Frosset pointgrundlag – ingen tilskrivning endnu"))))</x:f>
      </x:c>
      <x:c r="AA41" s="60" t="str">
        <x:f>IF(C41="","",'Model &amp; indstillinger'!$B$6+SUMIFS($U$10:U41,$G$10:G41,"Single"))</x:f>
      </x:c>
      <x:c r="AB41" s="60" t="str">
        <x:f>IF(C41="","",'Model &amp; indstillinger'!$B$7+COUNTIFS($G$10:G41,"Single",$AK$10:AK41,1))</x:f>
      </x:c>
      <x:c r="AC41" s="60" t="str">
        <x:f>IF(C41="","",'Model &amp; indstillinger'!$B$8+SUMIFS($U$10:U41,$G$10:G41,"Double"))</x:f>
      </x:c>
      <x:c r="AD41" s="60" t="str">
        <x:f>IF(C41="","",'Model &amp; indstillinger'!$B$9+COUNTIFS($G$10:G41,"Double",$AK$10:AK41,1))</x:f>
      </x:c>
      <x:c r="AE41" s="60" t="str">
        <x:f>IF(C41="","",'Model &amp; indstillinger'!$B$10+SUMIFS($U$10:U41,$G$10:G41,"Mix"))</x:f>
      </x:c>
      <x:c r="AF41" s="60" t="str">
        <x:f>IF(C41="","",'Model &amp; indstillinger'!$B$11+COUNTIFS($G$10:G41,"Mix",$AK$10:AK41,1))</x:f>
      </x:c>
      <x:c r="AG41" s="60" t="str">
        <x:f>IF(C41="","",IF(C41=C40,AG40,AG40+1))</x:f>
      </x:c>
      <x:c r="AH41" s="60" t="str">
        <x:f>IF(C41="","",IF(AG41=AG40,AH40,AA40))</x:f>
      </x:c>
      <x:c r="AI41" s="60" t="str">
        <x:f>IF(C41="","",IF(AG41=AG40,AI40,AC40))</x:f>
      </x:c>
      <x:c r="AJ41" s="60" t="str">
        <x:f>IF(C41="","",IF(AG41=AG40,AJ40,AE40))</x:f>
      </x:c>
      <x:c r="AK41" s="60" t="n">
        <x:f>IF(OR(H41="Vundet",H41="Tabt"),1,0)</x:f>
        <x:v>0</x:v>
      </x:c>
      <x:c r="AL41" s="60" t="n"/>
      <x:c r="AM41" s="60" t="n">
        <x:f>MAX($AG$10:$AG$209)</x:f>
        <x:v>4</x:v>
      </x:c>
      <x:c r="AN41" s="60" t="str">
        <x:f>IF(C41="","",IF(AND(C42&lt;&gt;"",C42&lt;&gt;C41),1,0))</x:f>
      </x:c>
      <x:c r="AO41" s="60" t="n"/>
      <x:c r="AP41" s="60" t="n">
        <x:f>MAX($AG$10:$AG$209)</x:f>
        <x:v>4</x:v>
      </x:c>
      <x:c r="AQ41" t="str">
        <x:f>AG41</x:f>
      </x:c>
      <x:c r="AR41" t="n">
        <x:f>C41</x:f>
        <x:v>0</x:v>
      </x:c>
      <x:c r="AS41" t="n">
        <x:f>E41</x:f>
        <x:v>0</x:v>
      </x:c>
    </x:row>
    <x:row r="42">
      <x:c r="A42" s="60" t="str">
        <x:f>IF(C42="","",COUNTIF($C$10:C42,"&lt;&gt;"))</x:f>
      </x:c>
      <x:c r="B42" s="122" t="n"/>
      <x:c r="C42" s="87" t="n"/>
      <x:c r="D42" s="87" t="n"/>
      <x:c r="E42" s="87" t="n"/>
      <x:c r="F42" s="87" t="n"/>
      <x:c r="G42" s="87" t="n"/>
      <x:c r="H42" s="87" t="n"/>
      <x:c r="I42" s="87" t="n"/>
      <x:c r="J42" s="87" t="n"/>
      <x:c r="K42" s="87" t="n"/>
      <x:c r="L42" s="87" t="n"/>
      <x:c r="M42" s="87" t="n"/>
      <x:c r="N42" s="87" t="n"/>
      <x:c r="O42" s="62" t="str">
        <x:f>IF(G42="","",IF(G42="Single",AH42,IF(G42="Double",AI42,AJ42)))</x:f>
      </x:c>
      <x:c r="P42" s="62" t="str">
        <x:f>IF(OR(G42="",H42="Ikke spillet"),"",IF(G42="Single",O42,IF(J42="","",(O42+J42)/2)))</x:f>
      </x:c>
      <x:c r="Q42" s="62" t="str">
        <x:f>IF(OR(G42="",H42="Ikke spillet"),"",IF(G42="Single",L42,IF(OR(L42="",N42=""),"",(L42+N42)/2)))</x:f>
      </x:c>
      <x:c r="R42" s="62" t="str">
        <x:f>IF(OR(P42="",Q42=""),"",Q42-P42)</x:f>
      </x:c>
      <x:c r="S42" s="62" t="str">
        <x:f>IF(H42="Ikke spillet","",IF(R42="","",IF(ABS(R42)&lt;0.000001,"Lige (0)",VLOOKUP(ABS(R42),'BD Pointtabel'!$A$4:$G$15,2,TRUE))))</x:f>
      </x:c>
      <x:c r="T42" s="62" t="str">
        <x:f>IF(H42="Ikke spillet","Ikke spillet",IF(H42="Planlagt","Planlagt",IF(OR(H42="",P42="",Q42=""),"",IF(H42="Vundet",IF(R42&gt;0,"Uventet sejr","Ventet sejr"),IF(R42&gt;=0,"Ventet nederlag","Uventet nederlag")))))</x:f>
      </x:c>
      <x:c r="U42" s="62" t="str">
        <x:f>IF(OR(H42="Ikke spillet",H42="Planlagt"),"",IF(OR(G42="",H42="",P42="",Q42=""),"",IF(AND(F42="Ungdomsholdturnering",OR(G42="Double",G42="Mix"),H42="Tabt"),0,IF(H42="Vundet",IF(R42&gt;0,VLOOKUP(ABS(R42),'BD Pointtabel'!$A$4:$G$15,4,TRUE),VLOOKUP(ABS(R42),'BD Pointtabel'!$A$4:$G$15,7,TRUE)),IF(R42&gt;=0,VLOOKUP(ABS(R42),'BD Pointtabel'!$A$4:$G$15,6,TRUE),VLOOKUP(ABS(R42),'BD Pointtabel'!$A$4:$G$15,3,TRUE))))))</x:f>
      </x:c>
      <x:c r="V42" s="62" t="str">
        <x:f>IF(G42="","",SUMIFS($U$10:U42,$AG$10:AG42,AG42,$G$10:G42,G42))</x:f>
      </x:c>
      <x:c r="W42" s="62" t="str">
        <x:f>IF(C42="","",IF(AN42&lt;&gt;1,"",IF(G42="Single",AA42,IF(G42="Double",AC42,AE42))))</x:f>
      </x:c>
      <x:c r="X42" s="62" t="str">
        <x:f>IF(C42="","",IF(AN42&lt;&gt;1,"",ROUND(((AA42*AB42+AC42*AD42+AE42*AF42)/(AB42+AD42+AF42))+IF((MAX(AA42,AC42,AE42)-(AA42+AC42+AE42-MAX(AA42,AC42,AE42)-MIN(AA42,AC42,AE42)))&lt;'Model &amp; indstillinger'!$E$16,'Model &amp; indstillinger'!$E$18,'Model &amp; indstillinger'!$E$20)*(MAX(AA42,AC42,AE42)-((AA42*AB42+AC42*AD42+AE42*AF42)/(AB42+AD42+AF42))),0)))</x:f>
      </x:c>
      <x:c r="Y42" s="62" t="str">
        <x:f>IF(X42="","",'Model &amp; indstillinger'!$B$4-X42)</x:f>
      </x:c>
      <x:c r="Z42" s="62" t="str">
        <x:f>IF(C42="","",IF(H42="Planlagt","Planlagt – ingen point endnu",IF(H42="Ikke spillet","Ikke spillet – tæller ikke som kamp og giver ingen point",IF(AN42=1,"STÆVNE SLUT – samlet point tilskrives","Frosset pointgrundlag – ingen tilskrivning endnu"))))</x:f>
      </x:c>
      <x:c r="AA42" s="60" t="str">
        <x:f>IF(C42="","",'Model &amp; indstillinger'!$B$6+SUMIFS($U$10:U42,$G$10:G42,"Single"))</x:f>
      </x:c>
      <x:c r="AB42" s="60" t="str">
        <x:f>IF(C42="","",'Model &amp; indstillinger'!$B$7+COUNTIFS($G$10:G42,"Single",$AK$10:AK42,1))</x:f>
      </x:c>
      <x:c r="AC42" s="60" t="str">
        <x:f>IF(C42="","",'Model &amp; indstillinger'!$B$8+SUMIFS($U$10:U42,$G$10:G42,"Double"))</x:f>
      </x:c>
      <x:c r="AD42" s="60" t="str">
        <x:f>IF(C42="","",'Model &amp; indstillinger'!$B$9+COUNTIFS($G$10:G42,"Double",$AK$10:AK42,1))</x:f>
      </x:c>
      <x:c r="AE42" s="60" t="str">
        <x:f>IF(C42="","",'Model &amp; indstillinger'!$B$10+SUMIFS($U$10:U42,$G$10:G42,"Mix"))</x:f>
      </x:c>
      <x:c r="AF42" s="60" t="str">
        <x:f>IF(C42="","",'Model &amp; indstillinger'!$B$11+COUNTIFS($G$10:G42,"Mix",$AK$10:AK42,1))</x:f>
      </x:c>
      <x:c r="AG42" s="60" t="str">
        <x:f>IF(C42="","",IF(C42=C41,AG41,AG41+1))</x:f>
      </x:c>
      <x:c r="AH42" s="60" t="str">
        <x:f>IF(C42="","",IF(AG42=AG41,AH41,AA41))</x:f>
      </x:c>
      <x:c r="AI42" s="60" t="str">
        <x:f>IF(C42="","",IF(AG42=AG41,AI41,AC41))</x:f>
      </x:c>
      <x:c r="AJ42" s="60" t="str">
        <x:f>IF(C42="","",IF(AG42=AG41,AJ41,AE41))</x:f>
      </x:c>
      <x:c r="AK42" s="60" t="n">
        <x:f>IF(OR(H42="Vundet",H42="Tabt"),1,0)</x:f>
        <x:v>0</x:v>
      </x:c>
      <x:c r="AL42" s="60" t="n"/>
      <x:c r="AM42" s="60" t="n">
        <x:f>MAX($AG$10:$AG$209)</x:f>
        <x:v>4</x:v>
      </x:c>
      <x:c r="AN42" s="60" t="str">
        <x:f>IF(C42="","",IF(AND(C43&lt;&gt;"",C43&lt;&gt;C42),1,0))</x:f>
      </x:c>
      <x:c r="AO42" s="60" t="n"/>
      <x:c r="AP42" s="60" t="n">
        <x:f>MAX($AG$10:$AG$209)</x:f>
        <x:v>4</x:v>
      </x:c>
      <x:c r="AQ42" t="str">
        <x:f>AG42</x:f>
      </x:c>
      <x:c r="AR42" t="n">
        <x:f>C42</x:f>
        <x:v>0</x:v>
      </x:c>
      <x:c r="AS42" t="n">
        <x:f>E42</x:f>
        <x:v>0</x:v>
      </x:c>
    </x:row>
    <x:row r="43">
      <x:c r="A43" s="60" t="str">
        <x:f>IF(C43="","",COUNTIF($C$10:C43,"&lt;&gt;"))</x:f>
      </x:c>
      <x:c r="B43" s="122" t="n"/>
      <x:c r="C43" s="87" t="n"/>
      <x:c r="D43" s="87" t="n"/>
      <x:c r="E43" s="87" t="n"/>
      <x:c r="F43" s="87" t="n"/>
      <x:c r="G43" s="87" t="n"/>
      <x:c r="H43" s="87" t="n"/>
      <x:c r="I43" s="87" t="n"/>
      <x:c r="J43" s="87" t="n"/>
      <x:c r="K43" s="87" t="n"/>
      <x:c r="L43" s="87" t="n"/>
      <x:c r="M43" s="87" t="n"/>
      <x:c r="N43" s="87" t="n"/>
      <x:c r="O43" s="62" t="str">
        <x:f>IF(G43="","",IF(G43="Single",AH43,IF(G43="Double",AI43,AJ43)))</x:f>
      </x:c>
      <x:c r="P43" s="62" t="str">
        <x:f>IF(OR(G43="",H43="Ikke spillet"),"",IF(G43="Single",O43,IF(J43="","",(O43+J43)/2)))</x:f>
      </x:c>
      <x:c r="Q43" s="62" t="str">
        <x:f>IF(OR(G43="",H43="Ikke spillet"),"",IF(G43="Single",L43,IF(OR(L43="",N43=""),"",(L43+N43)/2)))</x:f>
      </x:c>
      <x:c r="R43" s="62" t="str">
        <x:f>IF(OR(P43="",Q43=""),"",Q43-P43)</x:f>
      </x:c>
      <x:c r="S43" s="62" t="str">
        <x:f>IF(H43="Ikke spillet","",IF(R43="","",IF(ABS(R43)&lt;0.000001,"Lige (0)",VLOOKUP(ABS(R43),'BD Pointtabel'!$A$4:$G$15,2,TRUE))))</x:f>
      </x:c>
      <x:c r="T43" s="62" t="str">
        <x:f>IF(H43="Ikke spillet","Ikke spillet",IF(H43="Planlagt","Planlagt",IF(OR(H43="",P43="",Q43=""),"",IF(H43="Vundet",IF(R43&gt;0,"Uventet sejr","Ventet sejr"),IF(R43&gt;=0,"Ventet nederlag","Uventet nederlag")))))</x:f>
      </x:c>
      <x:c r="U43" s="62" t="str">
        <x:f>IF(OR(H43="Ikke spillet",H43="Planlagt"),"",IF(OR(G43="",H43="",P43="",Q43=""),"",IF(AND(F43="Ungdomsholdturnering",OR(G43="Double",G43="Mix"),H43="Tabt"),0,IF(H43="Vundet",IF(R43&gt;0,VLOOKUP(ABS(R43),'BD Pointtabel'!$A$4:$G$15,4,TRUE),VLOOKUP(ABS(R43),'BD Pointtabel'!$A$4:$G$15,7,TRUE)),IF(R43&gt;=0,VLOOKUP(ABS(R43),'BD Pointtabel'!$A$4:$G$15,6,TRUE),VLOOKUP(ABS(R43),'BD Pointtabel'!$A$4:$G$15,3,TRUE))))))</x:f>
      </x:c>
      <x:c r="V43" s="62" t="str">
        <x:f>IF(G43="","",SUMIFS($U$10:U43,$AG$10:AG43,AG43,$G$10:G43,G43))</x:f>
      </x:c>
      <x:c r="W43" s="62" t="str">
        <x:f>IF(C43="","",IF(AN43&lt;&gt;1,"",IF(G43="Single",AA43,IF(G43="Double",AC43,AE43))))</x:f>
      </x:c>
      <x:c r="X43" s="62" t="str">
        <x:f>IF(C43="","",IF(AN43&lt;&gt;1,"",ROUND(((AA43*AB43+AC43*AD43+AE43*AF43)/(AB43+AD43+AF43))+IF((MAX(AA43,AC43,AE43)-(AA43+AC43+AE43-MAX(AA43,AC43,AE43)-MIN(AA43,AC43,AE43)))&lt;'Model &amp; indstillinger'!$E$16,'Model &amp; indstillinger'!$E$18,'Model &amp; indstillinger'!$E$20)*(MAX(AA43,AC43,AE43)-((AA43*AB43+AC43*AD43+AE43*AF43)/(AB43+AD43+AF43))),0)))</x:f>
      </x:c>
      <x:c r="Y43" s="62" t="str">
        <x:f>IF(X43="","",'Model &amp; indstillinger'!$B$4-X43)</x:f>
      </x:c>
      <x:c r="Z43" s="62" t="str">
        <x:f>IF(C43="","",IF(H43="Planlagt","Planlagt – ingen point endnu",IF(H43="Ikke spillet","Ikke spillet – tæller ikke som kamp og giver ingen point",IF(AN43=1,"STÆVNE SLUT – samlet point tilskrives","Frosset pointgrundlag – ingen tilskrivning endnu"))))</x:f>
      </x:c>
      <x:c r="AA43" s="60" t="str">
        <x:f>IF(C43="","",'Model &amp; indstillinger'!$B$6+SUMIFS($U$10:U43,$G$10:G43,"Single"))</x:f>
      </x:c>
      <x:c r="AB43" s="60" t="str">
        <x:f>IF(C43="","",'Model &amp; indstillinger'!$B$7+COUNTIFS($G$10:G43,"Single",$AK$10:AK43,1))</x:f>
      </x:c>
      <x:c r="AC43" s="60" t="str">
        <x:f>IF(C43="","",'Model &amp; indstillinger'!$B$8+SUMIFS($U$10:U43,$G$10:G43,"Double"))</x:f>
      </x:c>
      <x:c r="AD43" s="60" t="str">
        <x:f>IF(C43="","",'Model &amp; indstillinger'!$B$9+COUNTIFS($G$10:G43,"Double",$AK$10:AK43,1))</x:f>
      </x:c>
      <x:c r="AE43" s="60" t="str">
        <x:f>IF(C43="","",'Model &amp; indstillinger'!$B$10+SUMIFS($U$10:U43,$G$10:G43,"Mix"))</x:f>
      </x:c>
      <x:c r="AF43" s="60" t="str">
        <x:f>IF(C43="","",'Model &amp; indstillinger'!$B$11+COUNTIFS($G$10:G43,"Mix",$AK$10:AK43,1))</x:f>
      </x:c>
      <x:c r="AG43" s="60" t="str">
        <x:f>IF(C43="","",IF(C43=C42,AG42,AG42+1))</x:f>
      </x:c>
      <x:c r="AH43" s="60" t="str">
        <x:f>IF(C43="","",IF(AG43=AG42,AH42,AA42))</x:f>
      </x:c>
      <x:c r="AI43" s="60" t="str">
        <x:f>IF(C43="","",IF(AG43=AG42,AI42,AC42))</x:f>
      </x:c>
      <x:c r="AJ43" s="60" t="str">
        <x:f>IF(C43="","",IF(AG43=AG42,AJ42,AE42))</x:f>
      </x:c>
      <x:c r="AK43" s="60" t="n">
        <x:f>IF(OR(H43="Vundet",H43="Tabt"),1,0)</x:f>
        <x:v>0</x:v>
      </x:c>
      <x:c r="AL43" s="60" t="n"/>
      <x:c r="AM43" s="60" t="n">
        <x:f>MAX($AG$10:$AG$209)</x:f>
        <x:v>4</x:v>
      </x:c>
      <x:c r="AN43" s="60" t="str">
        <x:f>IF(C43="","",IF(AND(C44&lt;&gt;"",C44&lt;&gt;C43),1,0))</x:f>
      </x:c>
      <x:c r="AO43" s="60" t="n"/>
      <x:c r="AP43" s="60" t="n">
        <x:f>MAX($AG$10:$AG$209)</x:f>
        <x:v>4</x:v>
      </x:c>
      <x:c r="AQ43" t="str">
        <x:f>AG43</x:f>
      </x:c>
      <x:c r="AR43" t="n">
        <x:f>C43</x:f>
        <x:v>0</x:v>
      </x:c>
      <x:c r="AS43" t="n">
        <x:f>E43</x:f>
        <x:v>0</x:v>
      </x:c>
    </x:row>
    <x:row r="44">
      <x:c r="A44" s="60" t="str">
        <x:f>IF(C44="","",COUNTIF($C$10:C44,"&lt;&gt;"))</x:f>
      </x:c>
      <x:c r="B44" s="122" t="n"/>
      <x:c r="C44" s="87" t="n"/>
      <x:c r="D44" s="87" t="n"/>
      <x:c r="E44" s="87" t="n"/>
      <x:c r="F44" s="87" t="n"/>
      <x:c r="G44" s="87" t="n"/>
      <x:c r="H44" s="87" t="n"/>
      <x:c r="I44" s="87" t="n"/>
      <x:c r="J44" s="87" t="n"/>
      <x:c r="K44" s="87" t="n"/>
      <x:c r="L44" s="87" t="n"/>
      <x:c r="M44" s="87" t="n"/>
      <x:c r="N44" s="87" t="n"/>
      <x:c r="O44" s="62" t="str">
        <x:f>IF(G44="","",IF(G44="Single",AH44,IF(G44="Double",AI44,AJ44)))</x:f>
      </x:c>
      <x:c r="P44" s="62" t="str">
        <x:f>IF(OR(G44="",H44="Ikke spillet"),"",IF(G44="Single",O44,IF(J44="","",(O44+J44)/2)))</x:f>
      </x:c>
      <x:c r="Q44" s="62" t="str">
        <x:f>IF(OR(G44="",H44="Ikke spillet"),"",IF(G44="Single",L44,IF(OR(L44="",N44=""),"",(L44+N44)/2)))</x:f>
      </x:c>
      <x:c r="R44" s="62" t="str">
        <x:f>IF(OR(P44="",Q44=""),"",Q44-P44)</x:f>
      </x:c>
      <x:c r="S44" s="62" t="str">
        <x:f>IF(H44="Ikke spillet","",IF(R44="","",IF(ABS(R44)&lt;0.000001,"Lige (0)",VLOOKUP(ABS(R44),'BD Pointtabel'!$A$4:$G$15,2,TRUE))))</x:f>
      </x:c>
      <x:c r="T44" s="62" t="str">
        <x:f>IF(H44="Ikke spillet","Ikke spillet",IF(H44="Planlagt","Planlagt",IF(OR(H44="",P44="",Q44=""),"",IF(H44="Vundet",IF(R44&gt;0,"Uventet sejr","Ventet sejr"),IF(R44&gt;=0,"Ventet nederlag","Uventet nederlag")))))</x:f>
      </x:c>
      <x:c r="U44" s="62" t="str">
        <x:f>IF(OR(H44="Ikke spillet",H44="Planlagt"),"",IF(OR(G44="",H44="",P44="",Q44=""),"",IF(AND(F44="Ungdomsholdturnering",OR(G44="Double",G44="Mix"),H44="Tabt"),0,IF(H44="Vundet",IF(R44&gt;0,VLOOKUP(ABS(R44),'BD Pointtabel'!$A$4:$G$15,4,TRUE),VLOOKUP(ABS(R44),'BD Pointtabel'!$A$4:$G$15,7,TRUE)),IF(R44&gt;=0,VLOOKUP(ABS(R44),'BD Pointtabel'!$A$4:$G$15,6,TRUE),VLOOKUP(ABS(R44),'BD Pointtabel'!$A$4:$G$15,3,TRUE))))))</x:f>
      </x:c>
      <x:c r="V44" s="62" t="str">
        <x:f>IF(G44="","",SUMIFS($U$10:U44,$AG$10:AG44,AG44,$G$10:G44,G44))</x:f>
      </x:c>
      <x:c r="W44" s="62" t="str">
        <x:f>IF(C44="","",IF(AN44&lt;&gt;1,"",IF(G44="Single",AA44,IF(G44="Double",AC44,AE44))))</x:f>
      </x:c>
      <x:c r="X44" s="62" t="str">
        <x:f>IF(C44="","",IF(AN44&lt;&gt;1,"",ROUND(((AA44*AB44+AC44*AD44+AE44*AF44)/(AB44+AD44+AF44))+IF((MAX(AA44,AC44,AE44)-(AA44+AC44+AE44-MAX(AA44,AC44,AE44)-MIN(AA44,AC44,AE44)))&lt;'Model &amp; indstillinger'!$E$16,'Model &amp; indstillinger'!$E$18,'Model &amp; indstillinger'!$E$20)*(MAX(AA44,AC44,AE44)-((AA44*AB44+AC44*AD44+AE44*AF44)/(AB44+AD44+AF44))),0)))</x:f>
      </x:c>
      <x:c r="Y44" s="62" t="str">
        <x:f>IF(X44="","",'Model &amp; indstillinger'!$B$4-X44)</x:f>
      </x:c>
      <x:c r="Z44" s="62" t="str">
        <x:f>IF(C44="","",IF(H44="Planlagt","Planlagt – ingen point endnu",IF(H44="Ikke spillet","Ikke spillet – tæller ikke som kamp og giver ingen point",IF(AN44=1,"STÆVNE SLUT – samlet point tilskrives","Frosset pointgrundlag – ingen tilskrivning endnu"))))</x:f>
      </x:c>
      <x:c r="AA44" s="60" t="str">
        <x:f>IF(C44="","",'Model &amp; indstillinger'!$B$6+SUMIFS($U$10:U44,$G$10:G44,"Single"))</x:f>
      </x:c>
      <x:c r="AB44" s="60" t="str">
        <x:f>IF(C44="","",'Model &amp; indstillinger'!$B$7+COUNTIFS($G$10:G44,"Single",$AK$10:AK44,1))</x:f>
      </x:c>
      <x:c r="AC44" s="60" t="str">
        <x:f>IF(C44="","",'Model &amp; indstillinger'!$B$8+SUMIFS($U$10:U44,$G$10:G44,"Double"))</x:f>
      </x:c>
      <x:c r="AD44" s="60" t="str">
        <x:f>IF(C44="","",'Model &amp; indstillinger'!$B$9+COUNTIFS($G$10:G44,"Double",$AK$10:AK44,1))</x:f>
      </x:c>
      <x:c r="AE44" s="60" t="str">
        <x:f>IF(C44="","",'Model &amp; indstillinger'!$B$10+SUMIFS($U$10:U44,$G$10:G44,"Mix"))</x:f>
      </x:c>
      <x:c r="AF44" s="60" t="str">
        <x:f>IF(C44="","",'Model &amp; indstillinger'!$B$11+COUNTIFS($G$10:G44,"Mix",$AK$10:AK44,1))</x:f>
      </x:c>
      <x:c r="AG44" s="60" t="str">
        <x:f>IF(C44="","",IF(C44=C43,AG43,AG43+1))</x:f>
      </x:c>
      <x:c r="AH44" s="60" t="str">
        <x:f>IF(C44="","",IF(AG44=AG43,AH43,AA43))</x:f>
      </x:c>
      <x:c r="AI44" s="60" t="str">
        <x:f>IF(C44="","",IF(AG44=AG43,AI43,AC43))</x:f>
      </x:c>
      <x:c r="AJ44" s="60" t="str">
        <x:f>IF(C44="","",IF(AG44=AG43,AJ43,AE43))</x:f>
      </x:c>
      <x:c r="AK44" s="60" t="n">
        <x:f>IF(OR(H44="Vundet",H44="Tabt"),1,0)</x:f>
        <x:v>0</x:v>
      </x:c>
      <x:c r="AL44" s="60" t="n"/>
      <x:c r="AM44" s="60" t="n">
        <x:f>MAX($AG$10:$AG$209)</x:f>
        <x:v>4</x:v>
      </x:c>
      <x:c r="AN44" s="60" t="str">
        <x:f>IF(C44="","",IF(AND(C45&lt;&gt;"",C45&lt;&gt;C44),1,0))</x:f>
      </x:c>
      <x:c r="AO44" s="60" t="n"/>
      <x:c r="AP44" s="60" t="n">
        <x:f>MAX($AG$10:$AG$209)</x:f>
        <x:v>4</x:v>
      </x:c>
      <x:c r="AQ44" t="str">
        <x:f>AG44</x:f>
      </x:c>
      <x:c r="AR44" t="n">
        <x:f>C44</x:f>
        <x:v>0</x:v>
      </x:c>
      <x:c r="AS44" t="n">
        <x:f>E44</x:f>
        <x:v>0</x:v>
      </x:c>
    </x:row>
    <x:row r="45">
      <x:c r="A45" s="60" t="str">
        <x:f>IF(C45="","",COUNTIF($C$10:C45,"&lt;&gt;"))</x:f>
      </x:c>
      <x:c r="B45" s="122" t="n"/>
      <x:c r="C45" s="87" t="n"/>
      <x:c r="D45" s="87" t="n"/>
      <x:c r="E45" s="87" t="n"/>
      <x:c r="F45" s="87" t="n"/>
      <x:c r="G45" s="87" t="n"/>
      <x:c r="H45" s="87" t="n"/>
      <x:c r="I45" s="87" t="n"/>
      <x:c r="J45" s="87" t="n"/>
      <x:c r="K45" s="87" t="n"/>
      <x:c r="L45" s="87" t="n"/>
      <x:c r="M45" s="87" t="n"/>
      <x:c r="N45" s="87" t="n"/>
      <x:c r="O45" s="62" t="str">
        <x:f>IF(G45="","",IF(G45="Single",AH45,IF(G45="Double",AI45,AJ45)))</x:f>
      </x:c>
      <x:c r="P45" s="62" t="str">
        <x:f>IF(OR(G45="",H45="Ikke spillet"),"",IF(G45="Single",O45,IF(J45="","",(O45+J45)/2)))</x:f>
      </x:c>
      <x:c r="Q45" s="62" t="str">
        <x:f>IF(OR(G45="",H45="Ikke spillet"),"",IF(G45="Single",L45,IF(OR(L45="",N45=""),"",(L45+N45)/2)))</x:f>
      </x:c>
      <x:c r="R45" s="62" t="str">
        <x:f>IF(OR(P45="",Q45=""),"",Q45-P45)</x:f>
      </x:c>
      <x:c r="S45" s="62" t="str">
        <x:f>IF(H45="Ikke spillet","",IF(R45="","",IF(ABS(R45)&lt;0.000001,"Lige (0)",VLOOKUP(ABS(R45),'BD Pointtabel'!$A$4:$G$15,2,TRUE))))</x:f>
      </x:c>
      <x:c r="T45" s="62" t="str">
        <x:f>IF(H45="Ikke spillet","Ikke spillet",IF(H45="Planlagt","Planlagt",IF(OR(H45="",P45="",Q45=""),"",IF(H45="Vundet",IF(R45&gt;0,"Uventet sejr","Ventet sejr"),IF(R45&gt;=0,"Ventet nederlag","Uventet nederlag")))))</x:f>
      </x:c>
      <x:c r="U45" s="62" t="str">
        <x:f>IF(OR(H45="Ikke spillet",H45="Planlagt"),"",IF(OR(G45="",H45="",P45="",Q45=""),"",IF(AND(F45="Ungdomsholdturnering",OR(G45="Double",G45="Mix"),H45="Tabt"),0,IF(H45="Vundet",IF(R45&gt;0,VLOOKUP(ABS(R45),'BD Pointtabel'!$A$4:$G$15,4,TRUE),VLOOKUP(ABS(R45),'BD Pointtabel'!$A$4:$G$15,7,TRUE)),IF(R45&gt;=0,VLOOKUP(ABS(R45),'BD Pointtabel'!$A$4:$G$15,6,TRUE),VLOOKUP(ABS(R45),'BD Pointtabel'!$A$4:$G$15,3,TRUE))))))</x:f>
      </x:c>
      <x:c r="V45" s="62" t="str">
        <x:f>IF(G45="","",SUMIFS($U$10:U45,$AG$10:AG45,AG45,$G$10:G45,G45))</x:f>
      </x:c>
      <x:c r="W45" s="62" t="str">
        <x:f>IF(C45="","",IF(AN45&lt;&gt;1,"",IF(G45="Single",AA45,IF(G45="Double",AC45,AE45))))</x:f>
      </x:c>
      <x:c r="X45" s="62" t="str">
        <x:f>IF(C45="","",IF(AN45&lt;&gt;1,"",ROUND(((AA45*AB45+AC45*AD45+AE45*AF45)/(AB45+AD45+AF45))+IF((MAX(AA45,AC45,AE45)-(AA45+AC45+AE45-MAX(AA45,AC45,AE45)-MIN(AA45,AC45,AE45)))&lt;'Model &amp; indstillinger'!$E$16,'Model &amp; indstillinger'!$E$18,'Model &amp; indstillinger'!$E$20)*(MAX(AA45,AC45,AE45)-((AA45*AB45+AC45*AD45+AE45*AF45)/(AB45+AD45+AF45))),0)))</x:f>
      </x:c>
      <x:c r="Y45" s="62" t="str">
        <x:f>IF(X45="","",'Model &amp; indstillinger'!$B$4-X45)</x:f>
      </x:c>
      <x:c r="Z45" s="62" t="str">
        <x:f>IF(C45="","",IF(H45="Planlagt","Planlagt – ingen point endnu",IF(H45="Ikke spillet","Ikke spillet – tæller ikke som kamp og giver ingen point",IF(AN45=1,"STÆVNE SLUT – samlet point tilskrives","Frosset pointgrundlag – ingen tilskrivning endnu"))))</x:f>
      </x:c>
      <x:c r="AA45" s="60" t="str">
        <x:f>IF(C45="","",'Model &amp; indstillinger'!$B$6+SUMIFS($U$10:U45,$G$10:G45,"Single"))</x:f>
      </x:c>
      <x:c r="AB45" s="60" t="str">
        <x:f>IF(C45="","",'Model &amp; indstillinger'!$B$7+COUNTIFS($G$10:G45,"Single",$AK$10:AK45,1))</x:f>
      </x:c>
      <x:c r="AC45" s="60" t="str">
        <x:f>IF(C45="","",'Model &amp; indstillinger'!$B$8+SUMIFS($U$10:U45,$G$10:G45,"Double"))</x:f>
      </x:c>
      <x:c r="AD45" s="60" t="str">
        <x:f>IF(C45="","",'Model &amp; indstillinger'!$B$9+COUNTIFS($G$10:G45,"Double",$AK$10:AK45,1))</x:f>
      </x:c>
      <x:c r="AE45" s="60" t="str">
        <x:f>IF(C45="","",'Model &amp; indstillinger'!$B$10+SUMIFS($U$10:U45,$G$10:G45,"Mix"))</x:f>
      </x:c>
      <x:c r="AF45" s="60" t="str">
        <x:f>IF(C45="","",'Model &amp; indstillinger'!$B$11+COUNTIFS($G$10:G45,"Mix",$AK$10:AK45,1))</x:f>
      </x:c>
      <x:c r="AG45" s="60" t="str">
        <x:f>IF(C45="","",IF(C45=C44,AG44,AG44+1))</x:f>
      </x:c>
      <x:c r="AH45" s="60" t="str">
        <x:f>IF(C45="","",IF(AG45=AG44,AH44,AA44))</x:f>
      </x:c>
      <x:c r="AI45" s="60" t="str">
        <x:f>IF(C45="","",IF(AG45=AG44,AI44,AC44))</x:f>
      </x:c>
      <x:c r="AJ45" s="60" t="str">
        <x:f>IF(C45="","",IF(AG45=AG44,AJ44,AE44))</x:f>
      </x:c>
      <x:c r="AK45" s="60" t="n">
        <x:f>IF(OR(H45="Vundet",H45="Tabt"),1,0)</x:f>
        <x:v>0</x:v>
      </x:c>
      <x:c r="AL45" s="60" t="n"/>
      <x:c r="AM45" s="60" t="n">
        <x:f>MAX($AG$10:$AG$209)</x:f>
        <x:v>4</x:v>
      </x:c>
      <x:c r="AN45" s="60" t="str">
        <x:f>IF(C45="","",IF(AND(C46&lt;&gt;"",C46&lt;&gt;C45),1,0))</x:f>
      </x:c>
      <x:c r="AO45" s="60" t="n"/>
      <x:c r="AP45" s="60" t="n">
        <x:f>MAX($AG$10:$AG$209)</x:f>
        <x:v>4</x:v>
      </x:c>
      <x:c r="AQ45" t="str">
        <x:f>AG45</x:f>
      </x:c>
      <x:c r="AR45" t="n">
        <x:f>C45</x:f>
        <x:v>0</x:v>
      </x:c>
      <x:c r="AS45" t="n">
        <x:f>E45</x:f>
        <x:v>0</x:v>
      </x:c>
    </x:row>
    <x:row r="46">
      <x:c r="A46" s="60" t="str">
        <x:f>IF(C46="","",COUNTIF($C$10:C46,"&lt;&gt;"))</x:f>
      </x:c>
      <x:c r="B46" s="122" t="n"/>
      <x:c r="C46" s="87" t="n"/>
      <x:c r="D46" s="87" t="n"/>
      <x:c r="E46" s="87" t="n"/>
      <x:c r="F46" s="87" t="n"/>
      <x:c r="G46" s="87" t="n"/>
      <x:c r="H46" s="87" t="n"/>
      <x:c r="I46" s="87" t="n"/>
      <x:c r="J46" s="87" t="n"/>
      <x:c r="K46" s="87" t="n"/>
      <x:c r="L46" s="87" t="n"/>
      <x:c r="M46" s="87" t="n"/>
      <x:c r="N46" s="87" t="n"/>
      <x:c r="O46" s="62" t="str">
        <x:f>IF(G46="","",IF(G46="Single",AH46,IF(G46="Double",AI46,AJ46)))</x:f>
      </x:c>
      <x:c r="P46" s="62" t="str">
        <x:f>IF(OR(G46="",H46="Ikke spillet"),"",IF(G46="Single",O46,IF(J46="","",(O46+J46)/2)))</x:f>
      </x:c>
      <x:c r="Q46" s="62" t="str">
        <x:f>IF(OR(G46="",H46="Ikke spillet"),"",IF(G46="Single",L46,IF(OR(L46="",N46=""),"",(L46+N46)/2)))</x:f>
      </x:c>
      <x:c r="R46" s="62" t="str">
        <x:f>IF(OR(P46="",Q46=""),"",Q46-P46)</x:f>
      </x:c>
      <x:c r="S46" s="62" t="str">
        <x:f>IF(H46="Ikke spillet","",IF(R46="","",IF(ABS(R46)&lt;0.000001,"Lige (0)",VLOOKUP(ABS(R46),'BD Pointtabel'!$A$4:$G$15,2,TRUE))))</x:f>
      </x:c>
      <x:c r="T46" s="62" t="str">
        <x:f>IF(H46="Ikke spillet","Ikke spillet",IF(H46="Planlagt","Planlagt",IF(OR(H46="",P46="",Q46=""),"",IF(H46="Vundet",IF(R46&gt;0,"Uventet sejr","Ventet sejr"),IF(R46&gt;=0,"Ventet nederlag","Uventet nederlag")))))</x:f>
      </x:c>
      <x:c r="U46" s="62" t="str">
        <x:f>IF(OR(H46="Ikke spillet",H46="Planlagt"),"",IF(OR(G46="",H46="",P46="",Q46=""),"",IF(AND(F46="Ungdomsholdturnering",OR(G46="Double",G46="Mix"),H46="Tabt"),0,IF(H46="Vundet",IF(R46&gt;0,VLOOKUP(ABS(R46),'BD Pointtabel'!$A$4:$G$15,4,TRUE),VLOOKUP(ABS(R46),'BD Pointtabel'!$A$4:$G$15,7,TRUE)),IF(R46&gt;=0,VLOOKUP(ABS(R46),'BD Pointtabel'!$A$4:$G$15,6,TRUE),VLOOKUP(ABS(R46),'BD Pointtabel'!$A$4:$G$15,3,TRUE))))))</x:f>
      </x:c>
      <x:c r="V46" s="62" t="str">
        <x:f>IF(G46="","",SUMIFS($U$10:U46,$AG$10:AG46,AG46,$G$10:G46,G46))</x:f>
      </x:c>
      <x:c r="W46" s="62" t="str">
        <x:f>IF(C46="","",IF(AN46&lt;&gt;1,"",IF(G46="Single",AA46,IF(G46="Double",AC46,AE46))))</x:f>
      </x:c>
      <x:c r="X46" s="62" t="str">
        <x:f>IF(C46="","",IF(AN46&lt;&gt;1,"",ROUND(((AA46*AB46+AC46*AD46+AE46*AF46)/(AB46+AD46+AF46))+IF((MAX(AA46,AC46,AE46)-(AA46+AC46+AE46-MAX(AA46,AC46,AE46)-MIN(AA46,AC46,AE46)))&lt;'Model &amp; indstillinger'!$E$16,'Model &amp; indstillinger'!$E$18,'Model &amp; indstillinger'!$E$20)*(MAX(AA46,AC46,AE46)-((AA46*AB46+AC46*AD46+AE46*AF46)/(AB46+AD46+AF46))),0)))</x:f>
      </x:c>
      <x:c r="Y46" s="62" t="str">
        <x:f>IF(X46="","",'Model &amp; indstillinger'!$B$4-X46)</x:f>
      </x:c>
      <x:c r="Z46" s="62" t="str">
        <x:f>IF(C46="","",IF(H46="Planlagt","Planlagt – ingen point endnu",IF(H46="Ikke spillet","Ikke spillet – tæller ikke som kamp og giver ingen point",IF(AN46=1,"STÆVNE SLUT – samlet point tilskrives","Frosset pointgrundlag – ingen tilskrivning endnu"))))</x:f>
      </x:c>
      <x:c r="AA46" s="60" t="str">
        <x:f>IF(C46="","",'Model &amp; indstillinger'!$B$6+SUMIFS($U$10:U46,$G$10:G46,"Single"))</x:f>
      </x:c>
      <x:c r="AB46" s="60" t="str">
        <x:f>IF(C46="","",'Model &amp; indstillinger'!$B$7+COUNTIFS($G$10:G46,"Single",$AK$10:AK46,1))</x:f>
      </x:c>
      <x:c r="AC46" s="60" t="str">
        <x:f>IF(C46="","",'Model &amp; indstillinger'!$B$8+SUMIFS($U$10:U46,$G$10:G46,"Double"))</x:f>
      </x:c>
      <x:c r="AD46" s="60" t="str">
        <x:f>IF(C46="","",'Model &amp; indstillinger'!$B$9+COUNTIFS($G$10:G46,"Double",$AK$10:AK46,1))</x:f>
      </x:c>
      <x:c r="AE46" s="60" t="str">
        <x:f>IF(C46="","",'Model &amp; indstillinger'!$B$10+SUMIFS($U$10:U46,$G$10:G46,"Mix"))</x:f>
      </x:c>
      <x:c r="AF46" s="60" t="str">
        <x:f>IF(C46="","",'Model &amp; indstillinger'!$B$11+COUNTIFS($G$10:G46,"Mix",$AK$10:AK46,1))</x:f>
      </x:c>
      <x:c r="AG46" s="60" t="str">
        <x:f>IF(C46="","",IF(C46=C45,AG45,AG45+1))</x:f>
      </x:c>
      <x:c r="AH46" s="60" t="str">
        <x:f>IF(C46="","",IF(AG46=AG45,AH45,AA45))</x:f>
      </x:c>
      <x:c r="AI46" s="60" t="str">
        <x:f>IF(C46="","",IF(AG46=AG45,AI45,AC45))</x:f>
      </x:c>
      <x:c r="AJ46" s="60" t="str">
        <x:f>IF(C46="","",IF(AG46=AG45,AJ45,AE45))</x:f>
      </x:c>
      <x:c r="AK46" s="60" t="n">
        <x:f>IF(OR(H46="Vundet",H46="Tabt"),1,0)</x:f>
        <x:v>0</x:v>
      </x:c>
      <x:c r="AL46" s="60" t="n"/>
      <x:c r="AM46" s="60" t="n">
        <x:f>MAX($AG$10:$AG$209)</x:f>
        <x:v>4</x:v>
      </x:c>
      <x:c r="AN46" s="60" t="str">
        <x:f>IF(C46="","",IF(AND(C47&lt;&gt;"",C47&lt;&gt;C46),1,0))</x:f>
      </x:c>
      <x:c r="AO46" s="60" t="n"/>
      <x:c r="AP46" s="60" t="n">
        <x:f>MAX($AG$10:$AG$209)</x:f>
        <x:v>4</x:v>
      </x:c>
      <x:c r="AQ46" t="str">
        <x:f>AG46</x:f>
      </x:c>
      <x:c r="AR46" t="n">
        <x:f>C46</x:f>
        <x:v>0</x:v>
      </x:c>
      <x:c r="AS46" t="n">
        <x:f>E46</x:f>
        <x:v>0</x:v>
      </x:c>
    </x:row>
    <x:row r="47">
      <x:c r="A47" s="60" t="str">
        <x:f>IF(C47="","",COUNTIF($C$10:C47,"&lt;&gt;"))</x:f>
      </x:c>
      <x:c r="B47" s="122" t="n"/>
      <x:c r="C47" s="87" t="n"/>
      <x:c r="D47" s="87" t="n"/>
      <x:c r="E47" s="87" t="n"/>
      <x:c r="F47" s="87" t="n"/>
      <x:c r="G47" s="87" t="n"/>
      <x:c r="H47" s="87" t="n"/>
      <x:c r="I47" s="87" t="n"/>
      <x:c r="J47" s="87" t="n"/>
      <x:c r="K47" s="87" t="n"/>
      <x:c r="L47" s="87" t="n"/>
      <x:c r="M47" s="87" t="n"/>
      <x:c r="N47" s="87" t="n"/>
      <x:c r="O47" s="62" t="str">
        <x:f>IF(G47="","",IF(G47="Single",AH47,IF(G47="Double",AI47,AJ47)))</x:f>
      </x:c>
      <x:c r="P47" s="62" t="str">
        <x:f>IF(OR(G47="",H47="Ikke spillet"),"",IF(G47="Single",O47,IF(J47="","",(O47+J47)/2)))</x:f>
      </x:c>
      <x:c r="Q47" s="62" t="str">
        <x:f>IF(OR(G47="",H47="Ikke spillet"),"",IF(G47="Single",L47,IF(OR(L47="",N47=""),"",(L47+N47)/2)))</x:f>
      </x:c>
      <x:c r="R47" s="62" t="str">
        <x:f>IF(OR(P47="",Q47=""),"",Q47-P47)</x:f>
      </x:c>
      <x:c r="S47" s="62" t="str">
        <x:f>IF(H47="Ikke spillet","",IF(R47="","",IF(ABS(R47)&lt;0.000001,"Lige (0)",VLOOKUP(ABS(R47),'BD Pointtabel'!$A$4:$G$15,2,TRUE))))</x:f>
      </x:c>
      <x:c r="T47" s="62" t="str">
        <x:f>IF(H47="Ikke spillet","Ikke spillet",IF(H47="Planlagt","Planlagt",IF(OR(H47="",P47="",Q47=""),"",IF(H47="Vundet",IF(R47&gt;0,"Uventet sejr","Ventet sejr"),IF(R47&gt;=0,"Ventet nederlag","Uventet nederlag")))))</x:f>
      </x:c>
      <x:c r="U47" s="62" t="str">
        <x:f>IF(OR(H47="Ikke spillet",H47="Planlagt"),"",IF(OR(G47="",H47="",P47="",Q47=""),"",IF(AND(F47="Ungdomsholdturnering",OR(G47="Double",G47="Mix"),H47="Tabt"),0,IF(H47="Vundet",IF(R47&gt;0,VLOOKUP(ABS(R47),'BD Pointtabel'!$A$4:$G$15,4,TRUE),VLOOKUP(ABS(R47),'BD Pointtabel'!$A$4:$G$15,7,TRUE)),IF(R47&gt;=0,VLOOKUP(ABS(R47),'BD Pointtabel'!$A$4:$G$15,6,TRUE),VLOOKUP(ABS(R47),'BD Pointtabel'!$A$4:$G$15,3,TRUE))))))</x:f>
      </x:c>
      <x:c r="V47" s="62" t="str">
        <x:f>IF(G47="","",SUMIFS($U$10:U47,$AG$10:AG47,AG47,$G$10:G47,G47))</x:f>
      </x:c>
      <x:c r="W47" s="62" t="str">
        <x:f>IF(C47="","",IF(AN47&lt;&gt;1,"",IF(G47="Single",AA47,IF(G47="Double",AC47,AE47))))</x:f>
      </x:c>
      <x:c r="X47" s="62" t="str">
        <x:f>IF(C47="","",IF(AN47&lt;&gt;1,"",ROUND(((AA47*AB47+AC47*AD47+AE47*AF47)/(AB47+AD47+AF47))+IF((MAX(AA47,AC47,AE47)-(AA47+AC47+AE47-MAX(AA47,AC47,AE47)-MIN(AA47,AC47,AE47)))&lt;'Model &amp; indstillinger'!$E$16,'Model &amp; indstillinger'!$E$18,'Model &amp; indstillinger'!$E$20)*(MAX(AA47,AC47,AE47)-((AA47*AB47+AC47*AD47+AE47*AF47)/(AB47+AD47+AF47))),0)))</x:f>
      </x:c>
      <x:c r="Y47" s="62" t="str">
        <x:f>IF(X47="","",'Model &amp; indstillinger'!$B$4-X47)</x:f>
      </x:c>
      <x:c r="Z47" s="62" t="str">
        <x:f>IF(C47="","",IF(H47="Planlagt","Planlagt – ingen point endnu",IF(H47="Ikke spillet","Ikke spillet – tæller ikke som kamp og giver ingen point",IF(AN47=1,"STÆVNE SLUT – samlet point tilskrives","Frosset pointgrundlag – ingen tilskrivning endnu"))))</x:f>
      </x:c>
      <x:c r="AA47" s="60" t="str">
        <x:f>IF(C47="","",'Model &amp; indstillinger'!$B$6+SUMIFS($U$10:U47,$G$10:G47,"Single"))</x:f>
      </x:c>
      <x:c r="AB47" s="60" t="str">
        <x:f>IF(C47="","",'Model &amp; indstillinger'!$B$7+COUNTIFS($G$10:G47,"Single",$AK$10:AK47,1))</x:f>
      </x:c>
      <x:c r="AC47" s="60" t="str">
        <x:f>IF(C47="","",'Model &amp; indstillinger'!$B$8+SUMIFS($U$10:U47,$G$10:G47,"Double"))</x:f>
      </x:c>
      <x:c r="AD47" s="60" t="str">
        <x:f>IF(C47="","",'Model &amp; indstillinger'!$B$9+COUNTIFS($G$10:G47,"Double",$AK$10:AK47,1))</x:f>
      </x:c>
      <x:c r="AE47" s="60" t="str">
        <x:f>IF(C47="","",'Model &amp; indstillinger'!$B$10+SUMIFS($U$10:U47,$G$10:G47,"Mix"))</x:f>
      </x:c>
      <x:c r="AF47" s="60" t="str">
        <x:f>IF(C47="","",'Model &amp; indstillinger'!$B$11+COUNTIFS($G$10:G47,"Mix",$AK$10:AK47,1))</x:f>
      </x:c>
      <x:c r="AG47" s="60" t="str">
        <x:f>IF(C47="","",IF(C47=C46,AG46,AG46+1))</x:f>
      </x:c>
      <x:c r="AH47" s="60" t="str">
        <x:f>IF(C47="","",IF(AG47=AG46,AH46,AA46))</x:f>
      </x:c>
      <x:c r="AI47" s="60" t="str">
        <x:f>IF(C47="","",IF(AG47=AG46,AI46,AC46))</x:f>
      </x:c>
      <x:c r="AJ47" s="60" t="str">
        <x:f>IF(C47="","",IF(AG47=AG46,AJ46,AE46))</x:f>
      </x:c>
      <x:c r="AK47" s="60" t="n">
        <x:f>IF(OR(H47="Vundet",H47="Tabt"),1,0)</x:f>
        <x:v>0</x:v>
      </x:c>
      <x:c r="AL47" s="60" t="n"/>
      <x:c r="AM47" s="60" t="n">
        <x:f>MAX($AG$10:$AG$209)</x:f>
        <x:v>4</x:v>
      </x:c>
      <x:c r="AN47" s="60" t="str">
        <x:f>IF(C47="","",IF(AND(C48&lt;&gt;"",C48&lt;&gt;C47),1,0))</x:f>
      </x:c>
      <x:c r="AO47" s="60" t="n"/>
      <x:c r="AP47" s="60" t="n">
        <x:f>MAX($AG$10:$AG$209)</x:f>
        <x:v>4</x:v>
      </x:c>
      <x:c r="AQ47" t="str">
        <x:f>AG47</x:f>
      </x:c>
      <x:c r="AR47" t="n">
        <x:f>C47</x:f>
        <x:v>0</x:v>
      </x:c>
      <x:c r="AS47" t="n">
        <x:f>E47</x:f>
        <x:v>0</x:v>
      </x:c>
    </x:row>
    <x:row r="48">
      <x:c r="A48" s="60" t="str">
        <x:f>IF(C48="","",COUNTIF($C$10:C48,"&lt;&gt;"))</x:f>
      </x:c>
      <x:c r="B48" s="122" t="n"/>
      <x:c r="C48" s="87" t="n"/>
      <x:c r="D48" s="87" t="n"/>
      <x:c r="E48" s="87" t="n"/>
      <x:c r="F48" s="87" t="n"/>
      <x:c r="G48" s="87" t="n"/>
      <x:c r="H48" s="87" t="n"/>
      <x:c r="I48" s="87" t="n"/>
      <x:c r="J48" s="87" t="n"/>
      <x:c r="K48" s="87" t="n"/>
      <x:c r="L48" s="87" t="n"/>
      <x:c r="M48" s="87" t="n"/>
      <x:c r="N48" s="87" t="n"/>
      <x:c r="O48" s="62" t="str">
        <x:f>IF(G48="","",IF(G48="Single",AH48,IF(G48="Double",AI48,AJ48)))</x:f>
      </x:c>
      <x:c r="P48" s="62" t="str">
        <x:f>IF(OR(G48="",H48="Ikke spillet"),"",IF(G48="Single",O48,IF(J48="","",(O48+J48)/2)))</x:f>
      </x:c>
      <x:c r="Q48" s="62" t="str">
        <x:f>IF(OR(G48="",H48="Ikke spillet"),"",IF(G48="Single",L48,IF(OR(L48="",N48=""),"",(L48+N48)/2)))</x:f>
      </x:c>
      <x:c r="R48" s="62" t="str">
        <x:f>IF(OR(P48="",Q48=""),"",Q48-P48)</x:f>
      </x:c>
      <x:c r="S48" s="62" t="str">
        <x:f>IF(H48="Ikke spillet","",IF(R48="","",IF(ABS(R48)&lt;0.000001,"Lige (0)",VLOOKUP(ABS(R48),'BD Pointtabel'!$A$4:$G$15,2,TRUE))))</x:f>
      </x:c>
      <x:c r="T48" s="62" t="str">
        <x:f>IF(H48="Ikke spillet","Ikke spillet",IF(H48="Planlagt","Planlagt",IF(OR(H48="",P48="",Q48=""),"",IF(H48="Vundet",IF(R48&gt;0,"Uventet sejr","Ventet sejr"),IF(R48&gt;=0,"Ventet nederlag","Uventet nederlag")))))</x:f>
      </x:c>
      <x:c r="U48" s="62" t="str">
        <x:f>IF(OR(H48="Ikke spillet",H48="Planlagt"),"",IF(OR(G48="",H48="",P48="",Q48=""),"",IF(AND(F48="Ungdomsholdturnering",OR(G48="Double",G48="Mix"),H48="Tabt"),0,IF(H48="Vundet",IF(R48&gt;0,VLOOKUP(ABS(R48),'BD Pointtabel'!$A$4:$G$15,4,TRUE),VLOOKUP(ABS(R48),'BD Pointtabel'!$A$4:$G$15,7,TRUE)),IF(R48&gt;=0,VLOOKUP(ABS(R48),'BD Pointtabel'!$A$4:$G$15,6,TRUE),VLOOKUP(ABS(R48),'BD Pointtabel'!$A$4:$G$15,3,TRUE))))))</x:f>
      </x:c>
      <x:c r="V48" s="62" t="str">
        <x:f>IF(G48="","",SUMIFS($U$10:U48,$AG$10:AG48,AG48,$G$10:G48,G48))</x:f>
      </x:c>
      <x:c r="W48" s="62" t="str">
        <x:f>IF(C48="","",IF(AN48&lt;&gt;1,"",IF(G48="Single",AA48,IF(G48="Double",AC48,AE48))))</x:f>
      </x:c>
      <x:c r="X48" s="62" t="str">
        <x:f>IF(C48="","",IF(AN48&lt;&gt;1,"",ROUND(((AA48*AB48+AC48*AD48+AE48*AF48)/(AB48+AD48+AF48))+IF((MAX(AA48,AC48,AE48)-(AA48+AC48+AE48-MAX(AA48,AC48,AE48)-MIN(AA48,AC48,AE48)))&lt;'Model &amp; indstillinger'!$E$16,'Model &amp; indstillinger'!$E$18,'Model &amp; indstillinger'!$E$20)*(MAX(AA48,AC48,AE48)-((AA48*AB48+AC48*AD48+AE48*AF48)/(AB48+AD48+AF48))),0)))</x:f>
      </x:c>
      <x:c r="Y48" s="62" t="str">
        <x:f>IF(X48="","",'Model &amp; indstillinger'!$B$4-X48)</x:f>
      </x:c>
      <x:c r="Z48" s="62" t="str">
        <x:f>IF(C48="","",IF(H48="Planlagt","Planlagt – ingen point endnu",IF(H48="Ikke spillet","Ikke spillet – tæller ikke som kamp og giver ingen point",IF(AN48=1,"STÆVNE SLUT – samlet point tilskrives","Frosset pointgrundlag – ingen tilskrivning endnu"))))</x:f>
      </x:c>
      <x:c r="AA48" s="60" t="str">
        <x:f>IF(C48="","",'Model &amp; indstillinger'!$B$6+SUMIFS($U$10:U48,$G$10:G48,"Single"))</x:f>
      </x:c>
      <x:c r="AB48" s="60" t="str">
        <x:f>IF(C48="","",'Model &amp; indstillinger'!$B$7+COUNTIFS($G$10:G48,"Single",$AK$10:AK48,1))</x:f>
      </x:c>
      <x:c r="AC48" s="60" t="str">
        <x:f>IF(C48="","",'Model &amp; indstillinger'!$B$8+SUMIFS($U$10:U48,$G$10:G48,"Double"))</x:f>
      </x:c>
      <x:c r="AD48" s="60" t="str">
        <x:f>IF(C48="","",'Model &amp; indstillinger'!$B$9+COUNTIFS($G$10:G48,"Double",$AK$10:AK48,1))</x:f>
      </x:c>
      <x:c r="AE48" s="60" t="str">
        <x:f>IF(C48="","",'Model &amp; indstillinger'!$B$10+SUMIFS($U$10:U48,$G$10:G48,"Mix"))</x:f>
      </x:c>
      <x:c r="AF48" s="60" t="str">
        <x:f>IF(C48="","",'Model &amp; indstillinger'!$B$11+COUNTIFS($G$10:G48,"Mix",$AK$10:AK48,1))</x:f>
      </x:c>
      <x:c r="AG48" s="60" t="str">
        <x:f>IF(C48="","",IF(C48=C47,AG47,AG47+1))</x:f>
      </x:c>
      <x:c r="AH48" s="60" t="str">
        <x:f>IF(C48="","",IF(AG48=AG47,AH47,AA47))</x:f>
      </x:c>
      <x:c r="AI48" s="60" t="str">
        <x:f>IF(C48="","",IF(AG48=AG47,AI47,AC47))</x:f>
      </x:c>
      <x:c r="AJ48" s="60" t="str">
        <x:f>IF(C48="","",IF(AG48=AG47,AJ47,AE47))</x:f>
      </x:c>
      <x:c r="AK48" s="60" t="n">
        <x:f>IF(OR(H48="Vundet",H48="Tabt"),1,0)</x:f>
        <x:v>0</x:v>
      </x:c>
      <x:c r="AL48" s="60" t="n"/>
      <x:c r="AM48" s="60" t="n">
        <x:f>MAX($AG$10:$AG$209)</x:f>
        <x:v>4</x:v>
      </x:c>
      <x:c r="AN48" s="60" t="str">
        <x:f>IF(C48="","",IF(AND(C49&lt;&gt;"",C49&lt;&gt;C48),1,0))</x:f>
      </x:c>
      <x:c r="AO48" s="60" t="n"/>
      <x:c r="AP48" s="60" t="n">
        <x:f>MAX($AG$10:$AG$209)</x:f>
        <x:v>4</x:v>
      </x:c>
      <x:c r="AQ48" t="str">
        <x:f>AG48</x:f>
      </x:c>
      <x:c r="AR48" t="n">
        <x:f>C48</x:f>
        <x:v>0</x:v>
      </x:c>
      <x:c r="AS48" t="n">
        <x:f>E48</x:f>
        <x:v>0</x:v>
      </x:c>
    </x:row>
    <x:row r="49">
      <x:c r="A49" s="60" t="str">
        <x:f>IF(C49="","",COUNTIF($C$10:C49,"&lt;&gt;"))</x:f>
      </x:c>
      <x:c r="B49" s="122" t="n"/>
      <x:c r="C49" s="87" t="n"/>
      <x:c r="D49" s="87" t="n"/>
      <x:c r="E49" s="87" t="n"/>
      <x:c r="F49" s="87" t="n"/>
      <x:c r="G49" s="87" t="n"/>
      <x:c r="H49" s="87" t="n"/>
      <x:c r="I49" s="87" t="n"/>
      <x:c r="J49" s="87" t="n"/>
      <x:c r="K49" s="87" t="n"/>
      <x:c r="L49" s="87" t="n"/>
      <x:c r="M49" s="87" t="n"/>
      <x:c r="N49" s="87" t="n"/>
      <x:c r="O49" s="62" t="str">
        <x:f>IF(G49="","",IF(G49="Single",AH49,IF(G49="Double",AI49,AJ49)))</x:f>
      </x:c>
      <x:c r="P49" s="62" t="str">
        <x:f>IF(OR(G49="",H49="Ikke spillet"),"",IF(G49="Single",O49,IF(J49="","",(O49+J49)/2)))</x:f>
      </x:c>
      <x:c r="Q49" s="62" t="str">
        <x:f>IF(OR(G49="",H49="Ikke spillet"),"",IF(G49="Single",L49,IF(OR(L49="",N49=""),"",(L49+N49)/2)))</x:f>
      </x:c>
      <x:c r="R49" s="62" t="str">
        <x:f>IF(OR(P49="",Q49=""),"",Q49-P49)</x:f>
      </x:c>
      <x:c r="S49" s="62" t="str">
        <x:f>IF(H49="Ikke spillet","",IF(R49="","",IF(ABS(R49)&lt;0.000001,"Lige (0)",VLOOKUP(ABS(R49),'BD Pointtabel'!$A$4:$G$15,2,TRUE))))</x:f>
      </x:c>
      <x:c r="T49" s="62" t="str">
        <x:f>IF(H49="Ikke spillet","Ikke spillet",IF(H49="Planlagt","Planlagt",IF(OR(H49="",P49="",Q49=""),"",IF(H49="Vundet",IF(R49&gt;0,"Uventet sejr","Ventet sejr"),IF(R49&gt;=0,"Ventet nederlag","Uventet nederlag")))))</x:f>
      </x:c>
      <x:c r="U49" s="62" t="str">
        <x:f>IF(OR(H49="Ikke spillet",H49="Planlagt"),"",IF(OR(G49="",H49="",P49="",Q49=""),"",IF(AND(F49="Ungdomsholdturnering",OR(G49="Double",G49="Mix"),H49="Tabt"),0,IF(H49="Vundet",IF(R49&gt;0,VLOOKUP(ABS(R49),'BD Pointtabel'!$A$4:$G$15,4,TRUE),VLOOKUP(ABS(R49),'BD Pointtabel'!$A$4:$G$15,7,TRUE)),IF(R49&gt;=0,VLOOKUP(ABS(R49),'BD Pointtabel'!$A$4:$G$15,6,TRUE),VLOOKUP(ABS(R49),'BD Pointtabel'!$A$4:$G$15,3,TRUE))))))</x:f>
      </x:c>
      <x:c r="V49" s="62" t="str">
        <x:f>IF(G49="","",SUMIFS($U$10:U49,$AG$10:AG49,AG49,$G$10:G49,G49))</x:f>
      </x:c>
      <x:c r="W49" s="62" t="str">
        <x:f>IF(C49="","",IF(AN49&lt;&gt;1,"",IF(G49="Single",AA49,IF(G49="Double",AC49,AE49))))</x:f>
      </x:c>
      <x:c r="X49" s="62" t="str">
        <x:f>IF(C49="","",IF(AN49&lt;&gt;1,"",ROUND(((AA49*AB49+AC49*AD49+AE49*AF49)/(AB49+AD49+AF49))+IF((MAX(AA49,AC49,AE49)-(AA49+AC49+AE49-MAX(AA49,AC49,AE49)-MIN(AA49,AC49,AE49)))&lt;'Model &amp; indstillinger'!$E$16,'Model &amp; indstillinger'!$E$18,'Model &amp; indstillinger'!$E$20)*(MAX(AA49,AC49,AE49)-((AA49*AB49+AC49*AD49+AE49*AF49)/(AB49+AD49+AF49))),0)))</x:f>
      </x:c>
      <x:c r="Y49" s="62" t="str">
        <x:f>IF(X49="","",'Model &amp; indstillinger'!$B$4-X49)</x:f>
      </x:c>
      <x:c r="Z49" s="62" t="str">
        <x:f>IF(C49="","",IF(H49="Planlagt","Planlagt – ingen point endnu",IF(H49="Ikke spillet","Ikke spillet – tæller ikke som kamp og giver ingen point",IF(AN49=1,"STÆVNE SLUT – samlet point tilskrives","Frosset pointgrundlag – ingen tilskrivning endnu"))))</x:f>
      </x:c>
      <x:c r="AA49" s="60" t="str">
        <x:f>IF(C49="","",'Model &amp; indstillinger'!$B$6+SUMIFS($U$10:U49,$G$10:G49,"Single"))</x:f>
      </x:c>
      <x:c r="AB49" s="60" t="str">
        <x:f>IF(C49="","",'Model &amp; indstillinger'!$B$7+COUNTIFS($G$10:G49,"Single",$AK$10:AK49,1))</x:f>
      </x:c>
      <x:c r="AC49" s="60" t="str">
        <x:f>IF(C49="","",'Model &amp; indstillinger'!$B$8+SUMIFS($U$10:U49,$G$10:G49,"Double"))</x:f>
      </x:c>
      <x:c r="AD49" s="60" t="str">
        <x:f>IF(C49="","",'Model &amp; indstillinger'!$B$9+COUNTIFS($G$10:G49,"Double",$AK$10:AK49,1))</x:f>
      </x:c>
      <x:c r="AE49" s="60" t="str">
        <x:f>IF(C49="","",'Model &amp; indstillinger'!$B$10+SUMIFS($U$10:U49,$G$10:G49,"Mix"))</x:f>
      </x:c>
      <x:c r="AF49" s="60" t="str">
        <x:f>IF(C49="","",'Model &amp; indstillinger'!$B$11+COUNTIFS($G$10:G49,"Mix",$AK$10:AK49,1))</x:f>
      </x:c>
      <x:c r="AG49" s="60" t="str">
        <x:f>IF(C49="","",IF(C49=C48,AG48,AG48+1))</x:f>
      </x:c>
      <x:c r="AH49" s="60" t="str">
        <x:f>IF(C49="","",IF(AG49=AG48,AH48,AA48))</x:f>
      </x:c>
      <x:c r="AI49" s="60" t="str">
        <x:f>IF(C49="","",IF(AG49=AG48,AI48,AC48))</x:f>
      </x:c>
      <x:c r="AJ49" s="60" t="str">
        <x:f>IF(C49="","",IF(AG49=AG48,AJ48,AE48))</x:f>
      </x:c>
      <x:c r="AK49" s="60" t="n">
        <x:f>IF(OR(H49="Vundet",H49="Tabt"),1,0)</x:f>
        <x:v>0</x:v>
      </x:c>
      <x:c r="AL49" s="60" t="n"/>
      <x:c r="AM49" s="60" t="n">
        <x:f>MAX($AG$10:$AG$209)</x:f>
        <x:v>4</x:v>
      </x:c>
      <x:c r="AN49" s="60" t="str">
        <x:f>IF(C49="","",IF(AND(C50&lt;&gt;"",C50&lt;&gt;C49),1,0))</x:f>
      </x:c>
      <x:c r="AO49" s="60" t="n"/>
      <x:c r="AP49" s="60" t="n">
        <x:f>MAX($AG$10:$AG$209)</x:f>
        <x:v>4</x:v>
      </x:c>
      <x:c r="AQ49" t="str">
        <x:f>AG49</x:f>
      </x:c>
      <x:c r="AR49" t="n">
        <x:f>C49</x:f>
        <x:v>0</x:v>
      </x:c>
      <x:c r="AS49" t="n">
        <x:f>E49</x:f>
        <x:v>0</x:v>
      </x:c>
    </x:row>
    <x:row r="50">
      <x:c r="A50" s="60" t="str">
        <x:f>IF(C50="","",COUNTIF($C$10:C50,"&lt;&gt;"))</x:f>
      </x:c>
      <x:c r="B50" s="122" t="n"/>
      <x:c r="C50" s="87" t="n"/>
      <x:c r="D50" s="87" t="n"/>
      <x:c r="E50" s="87" t="n"/>
      <x:c r="F50" s="87" t="n"/>
      <x:c r="G50" s="87" t="n"/>
      <x:c r="H50" s="87" t="n"/>
      <x:c r="I50" s="87" t="n"/>
      <x:c r="J50" s="87" t="n"/>
      <x:c r="K50" s="87" t="n"/>
      <x:c r="L50" s="87" t="n"/>
      <x:c r="M50" s="87" t="n"/>
      <x:c r="N50" s="87" t="n"/>
      <x:c r="O50" s="62" t="str">
        <x:f>IF(G50="","",IF(G50="Single",AH50,IF(G50="Double",AI50,AJ50)))</x:f>
      </x:c>
      <x:c r="P50" s="62" t="str">
        <x:f>IF(OR(G50="",H50="Ikke spillet"),"",IF(G50="Single",O50,IF(J50="","",(O50+J50)/2)))</x:f>
      </x:c>
      <x:c r="Q50" s="62" t="str">
        <x:f>IF(OR(G50="",H50="Ikke spillet"),"",IF(G50="Single",L50,IF(OR(L50="",N50=""),"",(L50+N50)/2)))</x:f>
      </x:c>
      <x:c r="R50" s="62" t="str">
        <x:f>IF(OR(P50="",Q50=""),"",Q50-P50)</x:f>
      </x:c>
      <x:c r="S50" s="62" t="str">
        <x:f>IF(H50="Ikke spillet","",IF(R50="","",IF(ABS(R50)&lt;0.000001,"Lige (0)",VLOOKUP(ABS(R50),'BD Pointtabel'!$A$4:$G$15,2,TRUE))))</x:f>
      </x:c>
      <x:c r="T50" s="62" t="str">
        <x:f>IF(H50="Ikke spillet","Ikke spillet",IF(H50="Planlagt","Planlagt",IF(OR(H50="",P50="",Q50=""),"",IF(H50="Vundet",IF(R50&gt;0,"Uventet sejr","Ventet sejr"),IF(R50&gt;=0,"Ventet nederlag","Uventet nederlag")))))</x:f>
      </x:c>
      <x:c r="U50" s="62" t="str">
        <x:f>IF(OR(H50="Ikke spillet",H50="Planlagt"),"",IF(OR(G50="",H50="",P50="",Q50=""),"",IF(AND(F50="Ungdomsholdturnering",OR(G50="Double",G50="Mix"),H50="Tabt"),0,IF(H50="Vundet",IF(R50&gt;0,VLOOKUP(ABS(R50),'BD Pointtabel'!$A$4:$G$15,4,TRUE),VLOOKUP(ABS(R50),'BD Pointtabel'!$A$4:$G$15,7,TRUE)),IF(R50&gt;=0,VLOOKUP(ABS(R50),'BD Pointtabel'!$A$4:$G$15,6,TRUE),VLOOKUP(ABS(R50),'BD Pointtabel'!$A$4:$G$15,3,TRUE))))))</x:f>
      </x:c>
      <x:c r="V50" s="62" t="str">
        <x:f>IF(G50="","",SUMIFS($U$10:U50,$AG$10:AG50,AG50,$G$10:G50,G50))</x:f>
      </x:c>
      <x:c r="W50" s="62" t="str">
        <x:f>IF(C50="","",IF(AN50&lt;&gt;1,"",IF(G50="Single",AA50,IF(G50="Double",AC50,AE50))))</x:f>
      </x:c>
      <x:c r="X50" s="62" t="str">
        <x:f>IF(C50="","",IF(AN50&lt;&gt;1,"",ROUND(((AA50*AB50+AC50*AD50+AE50*AF50)/(AB50+AD50+AF50))+IF((MAX(AA50,AC50,AE50)-(AA50+AC50+AE50-MAX(AA50,AC50,AE50)-MIN(AA50,AC50,AE50)))&lt;'Model &amp; indstillinger'!$E$16,'Model &amp; indstillinger'!$E$18,'Model &amp; indstillinger'!$E$20)*(MAX(AA50,AC50,AE50)-((AA50*AB50+AC50*AD50+AE50*AF50)/(AB50+AD50+AF50))),0)))</x:f>
      </x:c>
      <x:c r="Y50" s="62" t="str">
        <x:f>IF(X50="","",'Model &amp; indstillinger'!$B$4-X50)</x:f>
      </x:c>
      <x:c r="Z50" s="62" t="str">
        <x:f>IF(C50="","",IF(H50="Planlagt","Planlagt – ingen point endnu",IF(H50="Ikke spillet","Ikke spillet – tæller ikke som kamp og giver ingen point",IF(AN50=1,"STÆVNE SLUT – samlet point tilskrives","Frosset pointgrundlag – ingen tilskrivning endnu"))))</x:f>
      </x:c>
      <x:c r="AA50" s="60" t="str">
        <x:f>IF(C50="","",'Model &amp; indstillinger'!$B$6+SUMIFS($U$10:U50,$G$10:G50,"Single"))</x:f>
      </x:c>
      <x:c r="AB50" s="60" t="str">
        <x:f>IF(C50="","",'Model &amp; indstillinger'!$B$7+COUNTIFS($G$10:G50,"Single",$AK$10:AK50,1))</x:f>
      </x:c>
      <x:c r="AC50" s="60" t="str">
        <x:f>IF(C50="","",'Model &amp; indstillinger'!$B$8+SUMIFS($U$10:U50,$G$10:G50,"Double"))</x:f>
      </x:c>
      <x:c r="AD50" s="60" t="str">
        <x:f>IF(C50="","",'Model &amp; indstillinger'!$B$9+COUNTIFS($G$10:G50,"Double",$AK$10:AK50,1))</x:f>
      </x:c>
      <x:c r="AE50" s="60" t="str">
        <x:f>IF(C50="","",'Model &amp; indstillinger'!$B$10+SUMIFS($U$10:U50,$G$10:G50,"Mix"))</x:f>
      </x:c>
      <x:c r="AF50" s="60" t="str">
        <x:f>IF(C50="","",'Model &amp; indstillinger'!$B$11+COUNTIFS($G$10:G50,"Mix",$AK$10:AK50,1))</x:f>
      </x:c>
      <x:c r="AG50" s="60" t="str">
        <x:f>IF(C50="","",IF(C50=C49,AG49,AG49+1))</x:f>
      </x:c>
      <x:c r="AH50" s="60" t="str">
        <x:f>IF(C50="","",IF(AG50=AG49,AH49,AA49))</x:f>
      </x:c>
      <x:c r="AI50" s="60" t="str">
        <x:f>IF(C50="","",IF(AG50=AG49,AI49,AC49))</x:f>
      </x:c>
      <x:c r="AJ50" s="60" t="str">
        <x:f>IF(C50="","",IF(AG50=AG49,AJ49,AE49))</x:f>
      </x:c>
      <x:c r="AK50" s="60" t="n">
        <x:f>IF(OR(H50="Vundet",H50="Tabt"),1,0)</x:f>
        <x:v>0</x:v>
      </x:c>
      <x:c r="AL50" s="60" t="n"/>
      <x:c r="AM50" s="60" t="n">
        <x:f>MAX($AG$10:$AG$209)</x:f>
        <x:v>4</x:v>
      </x:c>
      <x:c r="AN50" s="60" t="str">
        <x:f>IF(C50="","",IF(AND(C51&lt;&gt;"",C51&lt;&gt;C50),1,0))</x:f>
      </x:c>
      <x:c r="AO50" s="60" t="n"/>
      <x:c r="AP50" s="60" t="n">
        <x:f>MAX($AG$10:$AG$209)</x:f>
        <x:v>4</x:v>
      </x:c>
      <x:c r="AQ50" t="str">
        <x:f>AG50</x:f>
      </x:c>
      <x:c r="AR50" t="n">
        <x:f>C50</x:f>
        <x:v>0</x:v>
      </x:c>
      <x:c r="AS50" t="n">
        <x:f>E50</x:f>
        <x:v>0</x:v>
      </x:c>
    </x:row>
    <x:row r="51">
      <x:c r="A51" s="60" t="str">
        <x:f>IF(C51="","",COUNTIF($C$10:C51,"&lt;&gt;"))</x:f>
      </x:c>
      <x:c r="B51" s="122" t="n"/>
      <x:c r="C51" s="87" t="n"/>
      <x:c r="D51" s="87" t="n"/>
      <x:c r="E51" s="87" t="n"/>
      <x:c r="F51" s="87" t="n"/>
      <x:c r="G51" s="87" t="n"/>
      <x:c r="H51" s="87" t="n"/>
      <x:c r="I51" s="87" t="n"/>
      <x:c r="J51" s="87" t="n"/>
      <x:c r="K51" s="87" t="n"/>
      <x:c r="L51" s="87" t="n"/>
      <x:c r="M51" s="87" t="n"/>
      <x:c r="N51" s="87" t="n"/>
      <x:c r="O51" s="62" t="str">
        <x:f>IF(G51="","",IF(G51="Single",AH51,IF(G51="Double",AI51,AJ51)))</x:f>
      </x:c>
      <x:c r="P51" s="62" t="str">
        <x:f>IF(OR(G51="",H51="Ikke spillet"),"",IF(G51="Single",O51,IF(J51="","",(O51+J51)/2)))</x:f>
      </x:c>
      <x:c r="Q51" s="62" t="str">
        <x:f>IF(OR(G51="",H51="Ikke spillet"),"",IF(G51="Single",L51,IF(OR(L51="",N51=""),"",(L51+N51)/2)))</x:f>
      </x:c>
      <x:c r="R51" s="62" t="str">
        <x:f>IF(OR(P51="",Q51=""),"",Q51-P51)</x:f>
      </x:c>
      <x:c r="S51" s="62" t="str">
        <x:f>IF(H51="Ikke spillet","",IF(R51="","",IF(ABS(R51)&lt;0.000001,"Lige (0)",VLOOKUP(ABS(R51),'BD Pointtabel'!$A$4:$G$15,2,TRUE))))</x:f>
      </x:c>
      <x:c r="T51" s="62" t="str">
        <x:f>IF(H51="Ikke spillet","Ikke spillet",IF(H51="Planlagt","Planlagt",IF(OR(H51="",P51="",Q51=""),"",IF(H51="Vundet",IF(R51&gt;0,"Uventet sejr","Ventet sejr"),IF(R51&gt;=0,"Ventet nederlag","Uventet nederlag")))))</x:f>
      </x:c>
      <x:c r="U51" s="62" t="str">
        <x:f>IF(OR(H51="Ikke spillet",H51="Planlagt"),"",IF(OR(G51="",H51="",P51="",Q51=""),"",IF(AND(F51="Ungdomsholdturnering",OR(G51="Double",G51="Mix"),H51="Tabt"),0,IF(H51="Vundet",IF(R51&gt;0,VLOOKUP(ABS(R51),'BD Pointtabel'!$A$4:$G$15,4,TRUE),VLOOKUP(ABS(R51),'BD Pointtabel'!$A$4:$G$15,7,TRUE)),IF(R51&gt;=0,VLOOKUP(ABS(R51),'BD Pointtabel'!$A$4:$G$15,6,TRUE),VLOOKUP(ABS(R51),'BD Pointtabel'!$A$4:$G$15,3,TRUE))))))</x:f>
      </x:c>
      <x:c r="V51" s="62" t="str">
        <x:f>IF(G51="","",SUMIFS($U$10:U51,$AG$10:AG51,AG51,$G$10:G51,G51))</x:f>
      </x:c>
      <x:c r="W51" s="62" t="str">
        <x:f>IF(C51="","",IF(AN51&lt;&gt;1,"",IF(G51="Single",AA51,IF(G51="Double",AC51,AE51))))</x:f>
      </x:c>
      <x:c r="X51" s="62" t="str">
        <x:f>IF(C51="","",IF(AN51&lt;&gt;1,"",ROUND(((AA51*AB51+AC51*AD51+AE51*AF51)/(AB51+AD51+AF51))+IF((MAX(AA51,AC51,AE51)-(AA51+AC51+AE51-MAX(AA51,AC51,AE51)-MIN(AA51,AC51,AE51)))&lt;'Model &amp; indstillinger'!$E$16,'Model &amp; indstillinger'!$E$18,'Model &amp; indstillinger'!$E$20)*(MAX(AA51,AC51,AE51)-((AA51*AB51+AC51*AD51+AE51*AF51)/(AB51+AD51+AF51))),0)))</x:f>
      </x:c>
      <x:c r="Y51" s="62" t="str">
        <x:f>IF(X51="","",'Model &amp; indstillinger'!$B$4-X51)</x:f>
      </x:c>
      <x:c r="Z51" s="62" t="str">
        <x:f>IF(C51="","",IF(H51="Planlagt","Planlagt – ingen point endnu",IF(H51="Ikke spillet","Ikke spillet – tæller ikke som kamp og giver ingen point",IF(AN51=1,"STÆVNE SLUT – samlet point tilskrives","Frosset pointgrundlag – ingen tilskrivning endnu"))))</x:f>
      </x:c>
      <x:c r="AA51" s="60" t="str">
        <x:f>IF(C51="","",'Model &amp; indstillinger'!$B$6+SUMIFS($U$10:U51,$G$10:G51,"Single"))</x:f>
      </x:c>
      <x:c r="AB51" s="60" t="str">
        <x:f>IF(C51="","",'Model &amp; indstillinger'!$B$7+COUNTIFS($G$10:G51,"Single",$AK$10:AK51,1))</x:f>
      </x:c>
      <x:c r="AC51" s="60" t="str">
        <x:f>IF(C51="","",'Model &amp; indstillinger'!$B$8+SUMIFS($U$10:U51,$G$10:G51,"Double"))</x:f>
      </x:c>
      <x:c r="AD51" s="60" t="str">
        <x:f>IF(C51="","",'Model &amp; indstillinger'!$B$9+COUNTIFS($G$10:G51,"Double",$AK$10:AK51,1))</x:f>
      </x:c>
      <x:c r="AE51" s="60" t="str">
        <x:f>IF(C51="","",'Model &amp; indstillinger'!$B$10+SUMIFS($U$10:U51,$G$10:G51,"Mix"))</x:f>
      </x:c>
      <x:c r="AF51" s="60" t="str">
        <x:f>IF(C51="","",'Model &amp; indstillinger'!$B$11+COUNTIFS($G$10:G51,"Mix",$AK$10:AK51,1))</x:f>
      </x:c>
      <x:c r="AG51" s="60" t="str">
        <x:f>IF(C51="","",IF(C51=C50,AG50,AG50+1))</x:f>
      </x:c>
      <x:c r="AH51" s="60" t="str">
        <x:f>IF(C51="","",IF(AG51=AG50,AH50,AA50))</x:f>
      </x:c>
      <x:c r="AI51" s="60" t="str">
        <x:f>IF(C51="","",IF(AG51=AG50,AI50,AC50))</x:f>
      </x:c>
      <x:c r="AJ51" s="60" t="str">
        <x:f>IF(C51="","",IF(AG51=AG50,AJ50,AE50))</x:f>
      </x:c>
      <x:c r="AK51" s="60" t="n">
        <x:f>IF(OR(H51="Vundet",H51="Tabt"),1,0)</x:f>
        <x:v>0</x:v>
      </x:c>
      <x:c r="AL51" s="60" t="n"/>
      <x:c r="AM51" s="60" t="n">
        <x:f>MAX($AG$10:$AG$209)</x:f>
        <x:v>4</x:v>
      </x:c>
      <x:c r="AN51" s="60" t="str">
        <x:f>IF(C51="","",IF(AND(C52&lt;&gt;"",C52&lt;&gt;C51),1,0))</x:f>
      </x:c>
      <x:c r="AO51" s="60" t="n"/>
      <x:c r="AP51" s="60" t="n">
        <x:f>MAX($AG$10:$AG$209)</x:f>
        <x:v>4</x:v>
      </x:c>
      <x:c r="AQ51" t="str">
        <x:f>AG51</x:f>
      </x:c>
      <x:c r="AR51" t="n">
        <x:f>C51</x:f>
        <x:v>0</x:v>
      </x:c>
      <x:c r="AS51" t="n">
        <x:f>E51</x:f>
        <x:v>0</x:v>
      </x:c>
    </x:row>
    <x:row r="52">
      <x:c r="A52" s="60" t="str">
        <x:f>IF(C52="","",COUNTIF($C$10:C52,"&lt;&gt;"))</x:f>
      </x:c>
      <x:c r="B52" s="122" t="n"/>
      <x:c r="C52" s="87" t="n"/>
      <x:c r="D52" s="87" t="n"/>
      <x:c r="E52" s="87" t="n"/>
      <x:c r="F52" s="87" t="n"/>
      <x:c r="G52" s="87" t="n"/>
      <x:c r="H52" s="87" t="n"/>
      <x:c r="I52" s="87" t="n"/>
      <x:c r="J52" s="87" t="n"/>
      <x:c r="K52" s="87" t="n"/>
      <x:c r="L52" s="87" t="n"/>
      <x:c r="M52" s="87" t="n"/>
      <x:c r="N52" s="87" t="n"/>
      <x:c r="O52" s="62" t="str">
        <x:f>IF(G52="","",IF(G52="Single",AH52,IF(G52="Double",AI52,AJ52)))</x:f>
      </x:c>
      <x:c r="P52" s="62" t="str">
        <x:f>IF(OR(G52="",H52="Ikke spillet"),"",IF(G52="Single",O52,IF(J52="","",(O52+J52)/2)))</x:f>
      </x:c>
      <x:c r="Q52" s="62" t="str">
        <x:f>IF(OR(G52="",H52="Ikke spillet"),"",IF(G52="Single",L52,IF(OR(L52="",N52=""),"",(L52+N52)/2)))</x:f>
      </x:c>
      <x:c r="R52" s="62" t="str">
        <x:f>IF(OR(P52="",Q52=""),"",Q52-P52)</x:f>
      </x:c>
      <x:c r="S52" s="62" t="str">
        <x:f>IF(H52="Ikke spillet","",IF(R52="","",IF(ABS(R52)&lt;0.000001,"Lige (0)",VLOOKUP(ABS(R52),'BD Pointtabel'!$A$4:$G$15,2,TRUE))))</x:f>
      </x:c>
      <x:c r="T52" s="62" t="str">
        <x:f>IF(H52="Ikke spillet","Ikke spillet",IF(H52="Planlagt","Planlagt",IF(OR(H52="",P52="",Q52=""),"",IF(H52="Vundet",IF(R52&gt;0,"Uventet sejr","Ventet sejr"),IF(R52&gt;=0,"Ventet nederlag","Uventet nederlag")))))</x:f>
      </x:c>
      <x:c r="U52" s="62" t="str">
        <x:f>IF(OR(H52="Ikke spillet",H52="Planlagt"),"",IF(OR(G52="",H52="",P52="",Q52=""),"",IF(AND(F52="Ungdomsholdturnering",OR(G52="Double",G52="Mix"),H52="Tabt"),0,IF(H52="Vundet",IF(R52&gt;0,VLOOKUP(ABS(R52),'BD Pointtabel'!$A$4:$G$15,4,TRUE),VLOOKUP(ABS(R52),'BD Pointtabel'!$A$4:$G$15,7,TRUE)),IF(R52&gt;=0,VLOOKUP(ABS(R52),'BD Pointtabel'!$A$4:$G$15,6,TRUE),VLOOKUP(ABS(R52),'BD Pointtabel'!$A$4:$G$15,3,TRUE))))))</x:f>
      </x:c>
      <x:c r="V52" s="62" t="str">
        <x:f>IF(G52="","",SUMIFS($U$10:U52,$AG$10:AG52,AG52,$G$10:G52,G52))</x:f>
      </x:c>
      <x:c r="W52" s="62" t="str">
        <x:f>IF(C52="","",IF(AN52&lt;&gt;1,"",IF(G52="Single",AA52,IF(G52="Double",AC52,AE52))))</x:f>
      </x:c>
      <x:c r="X52" s="62" t="str">
        <x:f>IF(C52="","",IF(AN52&lt;&gt;1,"",ROUND(((AA52*AB52+AC52*AD52+AE52*AF52)/(AB52+AD52+AF52))+IF((MAX(AA52,AC52,AE52)-(AA52+AC52+AE52-MAX(AA52,AC52,AE52)-MIN(AA52,AC52,AE52)))&lt;'Model &amp; indstillinger'!$E$16,'Model &amp; indstillinger'!$E$18,'Model &amp; indstillinger'!$E$20)*(MAX(AA52,AC52,AE52)-((AA52*AB52+AC52*AD52+AE52*AF52)/(AB52+AD52+AF52))),0)))</x:f>
      </x:c>
      <x:c r="Y52" s="62" t="str">
        <x:f>IF(X52="","",'Model &amp; indstillinger'!$B$4-X52)</x:f>
      </x:c>
      <x:c r="Z52" s="62" t="str">
        <x:f>IF(C52="","",IF(H52="Planlagt","Planlagt – ingen point endnu",IF(H52="Ikke spillet","Ikke spillet – tæller ikke som kamp og giver ingen point",IF(AN52=1,"STÆVNE SLUT – samlet point tilskrives","Frosset pointgrundlag – ingen tilskrivning endnu"))))</x:f>
      </x:c>
      <x:c r="AA52" s="60" t="str">
        <x:f>IF(C52="","",'Model &amp; indstillinger'!$B$6+SUMIFS($U$10:U52,$G$10:G52,"Single"))</x:f>
      </x:c>
      <x:c r="AB52" s="60" t="str">
        <x:f>IF(C52="","",'Model &amp; indstillinger'!$B$7+COUNTIFS($G$10:G52,"Single",$AK$10:AK52,1))</x:f>
      </x:c>
      <x:c r="AC52" s="60" t="str">
        <x:f>IF(C52="","",'Model &amp; indstillinger'!$B$8+SUMIFS($U$10:U52,$G$10:G52,"Double"))</x:f>
      </x:c>
      <x:c r="AD52" s="60" t="str">
        <x:f>IF(C52="","",'Model &amp; indstillinger'!$B$9+COUNTIFS($G$10:G52,"Double",$AK$10:AK52,1))</x:f>
      </x:c>
      <x:c r="AE52" s="60" t="str">
        <x:f>IF(C52="","",'Model &amp; indstillinger'!$B$10+SUMIFS($U$10:U52,$G$10:G52,"Mix"))</x:f>
      </x:c>
      <x:c r="AF52" s="60" t="str">
        <x:f>IF(C52="","",'Model &amp; indstillinger'!$B$11+COUNTIFS($G$10:G52,"Mix",$AK$10:AK52,1))</x:f>
      </x:c>
      <x:c r="AG52" s="60" t="str">
        <x:f>IF(C52="","",IF(C52=C51,AG51,AG51+1))</x:f>
      </x:c>
      <x:c r="AH52" s="60" t="str">
        <x:f>IF(C52="","",IF(AG52=AG51,AH51,AA51))</x:f>
      </x:c>
      <x:c r="AI52" s="60" t="str">
        <x:f>IF(C52="","",IF(AG52=AG51,AI51,AC51))</x:f>
      </x:c>
      <x:c r="AJ52" s="60" t="str">
        <x:f>IF(C52="","",IF(AG52=AG51,AJ51,AE51))</x:f>
      </x:c>
      <x:c r="AK52" s="60" t="n">
        <x:f>IF(OR(H52="Vundet",H52="Tabt"),1,0)</x:f>
        <x:v>0</x:v>
      </x:c>
      <x:c r="AL52" s="60" t="n"/>
      <x:c r="AM52" s="60" t="n">
        <x:f>MAX($AG$10:$AG$209)</x:f>
        <x:v>4</x:v>
      </x:c>
      <x:c r="AN52" s="60" t="str">
        <x:f>IF(C52="","",IF(AND(C53&lt;&gt;"",C53&lt;&gt;C52),1,0))</x:f>
      </x:c>
      <x:c r="AO52" s="60" t="n"/>
      <x:c r="AP52" s="60" t="n">
        <x:f>MAX($AG$10:$AG$209)</x:f>
        <x:v>4</x:v>
      </x:c>
      <x:c r="AQ52" t="str">
        <x:f>AG52</x:f>
      </x:c>
      <x:c r="AR52" t="n">
        <x:f>C52</x:f>
        <x:v>0</x:v>
      </x:c>
      <x:c r="AS52" t="n">
        <x:f>E52</x:f>
        <x:v>0</x:v>
      </x:c>
    </x:row>
    <x:row r="53">
      <x:c r="A53" s="60" t="str">
        <x:f>IF(C53="","",COUNTIF($C$10:C53,"&lt;&gt;"))</x:f>
      </x:c>
      <x:c r="B53" s="122" t="n"/>
      <x:c r="C53" s="87" t="n"/>
      <x:c r="D53" s="87" t="n"/>
      <x:c r="E53" s="87" t="n"/>
      <x:c r="F53" s="87" t="n"/>
      <x:c r="G53" s="87" t="n"/>
      <x:c r="H53" s="87" t="n"/>
      <x:c r="I53" s="87" t="n"/>
      <x:c r="J53" s="87" t="n"/>
      <x:c r="K53" s="87" t="n"/>
      <x:c r="L53" s="87" t="n"/>
      <x:c r="M53" s="87" t="n"/>
      <x:c r="N53" s="87" t="n"/>
      <x:c r="O53" s="62" t="str">
        <x:f>IF(G53="","",IF(G53="Single",AH53,IF(G53="Double",AI53,AJ53)))</x:f>
      </x:c>
      <x:c r="P53" s="62" t="str">
        <x:f>IF(OR(G53="",H53="Ikke spillet"),"",IF(G53="Single",O53,IF(J53="","",(O53+J53)/2)))</x:f>
      </x:c>
      <x:c r="Q53" s="62" t="str">
        <x:f>IF(OR(G53="",H53="Ikke spillet"),"",IF(G53="Single",L53,IF(OR(L53="",N53=""),"",(L53+N53)/2)))</x:f>
      </x:c>
      <x:c r="R53" s="62" t="str">
        <x:f>IF(OR(P53="",Q53=""),"",Q53-P53)</x:f>
      </x:c>
      <x:c r="S53" s="62" t="str">
        <x:f>IF(H53="Ikke spillet","",IF(R53="","",IF(ABS(R53)&lt;0.000001,"Lige (0)",VLOOKUP(ABS(R53),'BD Pointtabel'!$A$4:$G$15,2,TRUE))))</x:f>
      </x:c>
      <x:c r="T53" s="62" t="str">
        <x:f>IF(H53="Ikke spillet","Ikke spillet",IF(H53="Planlagt","Planlagt",IF(OR(H53="",P53="",Q53=""),"",IF(H53="Vundet",IF(R53&gt;0,"Uventet sejr","Ventet sejr"),IF(R53&gt;=0,"Ventet nederlag","Uventet nederlag")))))</x:f>
      </x:c>
      <x:c r="U53" s="62" t="str">
        <x:f>IF(OR(H53="Ikke spillet",H53="Planlagt"),"",IF(OR(G53="",H53="",P53="",Q53=""),"",IF(AND(F53="Ungdomsholdturnering",OR(G53="Double",G53="Mix"),H53="Tabt"),0,IF(H53="Vundet",IF(R53&gt;0,VLOOKUP(ABS(R53),'BD Pointtabel'!$A$4:$G$15,4,TRUE),VLOOKUP(ABS(R53),'BD Pointtabel'!$A$4:$G$15,7,TRUE)),IF(R53&gt;=0,VLOOKUP(ABS(R53),'BD Pointtabel'!$A$4:$G$15,6,TRUE),VLOOKUP(ABS(R53),'BD Pointtabel'!$A$4:$G$15,3,TRUE))))))</x:f>
      </x:c>
      <x:c r="V53" s="62" t="str">
        <x:f>IF(G53="","",SUMIFS($U$10:U53,$AG$10:AG53,AG53,$G$10:G53,G53))</x:f>
      </x:c>
      <x:c r="W53" s="62" t="str">
        <x:f>IF(C53="","",IF(AN53&lt;&gt;1,"",IF(G53="Single",AA53,IF(G53="Double",AC53,AE53))))</x:f>
      </x:c>
      <x:c r="X53" s="62" t="str">
        <x:f>IF(C53="","",IF(AN53&lt;&gt;1,"",ROUND(((AA53*AB53+AC53*AD53+AE53*AF53)/(AB53+AD53+AF53))+IF((MAX(AA53,AC53,AE53)-(AA53+AC53+AE53-MAX(AA53,AC53,AE53)-MIN(AA53,AC53,AE53)))&lt;'Model &amp; indstillinger'!$E$16,'Model &amp; indstillinger'!$E$18,'Model &amp; indstillinger'!$E$20)*(MAX(AA53,AC53,AE53)-((AA53*AB53+AC53*AD53+AE53*AF53)/(AB53+AD53+AF53))),0)))</x:f>
      </x:c>
      <x:c r="Y53" s="62" t="str">
        <x:f>IF(X53="","",'Model &amp; indstillinger'!$B$4-X53)</x:f>
      </x:c>
      <x:c r="Z53" s="62" t="str">
        <x:f>IF(C53="","",IF(H53="Planlagt","Planlagt – ingen point endnu",IF(H53="Ikke spillet","Ikke spillet – tæller ikke som kamp og giver ingen point",IF(AN53=1,"STÆVNE SLUT – samlet point tilskrives","Frosset pointgrundlag – ingen tilskrivning endnu"))))</x:f>
      </x:c>
      <x:c r="AA53" s="60" t="str">
        <x:f>IF(C53="","",'Model &amp; indstillinger'!$B$6+SUMIFS($U$10:U53,$G$10:G53,"Single"))</x:f>
      </x:c>
      <x:c r="AB53" s="60" t="str">
        <x:f>IF(C53="","",'Model &amp; indstillinger'!$B$7+COUNTIFS($G$10:G53,"Single",$AK$10:AK53,1))</x:f>
      </x:c>
      <x:c r="AC53" s="60" t="str">
        <x:f>IF(C53="","",'Model &amp; indstillinger'!$B$8+SUMIFS($U$10:U53,$G$10:G53,"Double"))</x:f>
      </x:c>
      <x:c r="AD53" s="60" t="str">
        <x:f>IF(C53="","",'Model &amp; indstillinger'!$B$9+COUNTIFS($G$10:G53,"Double",$AK$10:AK53,1))</x:f>
      </x:c>
      <x:c r="AE53" s="60" t="str">
        <x:f>IF(C53="","",'Model &amp; indstillinger'!$B$10+SUMIFS($U$10:U53,$G$10:G53,"Mix"))</x:f>
      </x:c>
      <x:c r="AF53" s="60" t="str">
        <x:f>IF(C53="","",'Model &amp; indstillinger'!$B$11+COUNTIFS($G$10:G53,"Mix",$AK$10:AK53,1))</x:f>
      </x:c>
      <x:c r="AG53" s="60" t="str">
        <x:f>IF(C53="","",IF(C53=C52,AG52,AG52+1))</x:f>
      </x:c>
      <x:c r="AH53" s="60" t="str">
        <x:f>IF(C53="","",IF(AG53=AG52,AH52,AA52))</x:f>
      </x:c>
      <x:c r="AI53" s="60" t="str">
        <x:f>IF(C53="","",IF(AG53=AG52,AI52,AC52))</x:f>
      </x:c>
      <x:c r="AJ53" s="60" t="str">
        <x:f>IF(C53="","",IF(AG53=AG52,AJ52,AE52))</x:f>
      </x:c>
      <x:c r="AK53" s="60" t="n">
        <x:f>IF(OR(H53="Vundet",H53="Tabt"),1,0)</x:f>
        <x:v>0</x:v>
      </x:c>
      <x:c r="AL53" s="60" t="n"/>
      <x:c r="AM53" s="60" t="n">
        <x:f>MAX($AG$10:$AG$209)</x:f>
        <x:v>4</x:v>
      </x:c>
      <x:c r="AN53" s="60" t="str">
        <x:f>IF(C53="","",IF(AND(C54&lt;&gt;"",C54&lt;&gt;C53),1,0))</x:f>
      </x:c>
      <x:c r="AO53" s="60" t="n"/>
      <x:c r="AP53" s="60" t="n">
        <x:f>MAX($AG$10:$AG$209)</x:f>
        <x:v>4</x:v>
      </x:c>
      <x:c r="AQ53" t="str">
        <x:f>AG53</x:f>
      </x:c>
      <x:c r="AR53" t="n">
        <x:f>C53</x:f>
        <x:v>0</x:v>
      </x:c>
      <x:c r="AS53" t="n">
        <x:f>E53</x:f>
        <x:v>0</x:v>
      </x:c>
    </x:row>
    <x:row r="54">
      <x:c r="A54" s="60" t="str">
        <x:f>IF(C54="","",COUNTIF($C$10:C54,"&lt;&gt;"))</x:f>
      </x:c>
      <x:c r="B54" s="122" t="n"/>
      <x:c r="C54" s="87" t="n"/>
      <x:c r="D54" s="87" t="n"/>
      <x:c r="E54" s="87" t="n"/>
      <x:c r="F54" s="87" t="n"/>
      <x:c r="G54" s="87" t="n"/>
      <x:c r="H54" s="87" t="n"/>
      <x:c r="I54" s="87" t="n"/>
      <x:c r="J54" s="87" t="n"/>
      <x:c r="K54" s="87" t="n"/>
      <x:c r="L54" s="87" t="n"/>
      <x:c r="M54" s="87" t="n"/>
      <x:c r="N54" s="87" t="n"/>
      <x:c r="O54" s="62" t="str">
        <x:f>IF(G54="","",IF(G54="Single",AH54,IF(G54="Double",AI54,AJ54)))</x:f>
      </x:c>
      <x:c r="P54" s="62" t="str">
        <x:f>IF(OR(G54="",H54="Ikke spillet"),"",IF(G54="Single",O54,IF(J54="","",(O54+J54)/2)))</x:f>
      </x:c>
      <x:c r="Q54" s="62" t="str">
        <x:f>IF(OR(G54="",H54="Ikke spillet"),"",IF(G54="Single",L54,IF(OR(L54="",N54=""),"",(L54+N54)/2)))</x:f>
      </x:c>
      <x:c r="R54" s="62" t="str">
        <x:f>IF(OR(P54="",Q54=""),"",Q54-P54)</x:f>
      </x:c>
      <x:c r="S54" s="62" t="str">
        <x:f>IF(H54="Ikke spillet","",IF(R54="","",IF(ABS(R54)&lt;0.000001,"Lige (0)",VLOOKUP(ABS(R54),'BD Pointtabel'!$A$4:$G$15,2,TRUE))))</x:f>
      </x:c>
      <x:c r="T54" s="62" t="str">
        <x:f>IF(H54="Ikke spillet","Ikke spillet",IF(H54="Planlagt","Planlagt",IF(OR(H54="",P54="",Q54=""),"",IF(H54="Vundet",IF(R54&gt;0,"Uventet sejr","Ventet sejr"),IF(R54&gt;=0,"Ventet nederlag","Uventet nederlag")))))</x:f>
      </x:c>
      <x:c r="U54" s="62" t="str">
        <x:f>IF(OR(H54="Ikke spillet",H54="Planlagt"),"",IF(OR(G54="",H54="",P54="",Q54=""),"",IF(AND(F54="Ungdomsholdturnering",OR(G54="Double",G54="Mix"),H54="Tabt"),0,IF(H54="Vundet",IF(R54&gt;0,VLOOKUP(ABS(R54),'BD Pointtabel'!$A$4:$G$15,4,TRUE),VLOOKUP(ABS(R54),'BD Pointtabel'!$A$4:$G$15,7,TRUE)),IF(R54&gt;=0,VLOOKUP(ABS(R54),'BD Pointtabel'!$A$4:$G$15,6,TRUE),VLOOKUP(ABS(R54),'BD Pointtabel'!$A$4:$G$15,3,TRUE))))))</x:f>
      </x:c>
      <x:c r="V54" s="62" t="str">
        <x:f>IF(G54="","",SUMIFS($U$10:U54,$AG$10:AG54,AG54,$G$10:G54,G54))</x:f>
      </x:c>
      <x:c r="W54" s="62" t="str">
        <x:f>IF(C54="","",IF(AN54&lt;&gt;1,"",IF(G54="Single",AA54,IF(G54="Double",AC54,AE54))))</x:f>
      </x:c>
      <x:c r="X54" s="62" t="str">
        <x:f>IF(C54="","",IF(AN54&lt;&gt;1,"",ROUND(((AA54*AB54+AC54*AD54+AE54*AF54)/(AB54+AD54+AF54))+IF((MAX(AA54,AC54,AE54)-(AA54+AC54+AE54-MAX(AA54,AC54,AE54)-MIN(AA54,AC54,AE54)))&lt;'Model &amp; indstillinger'!$E$16,'Model &amp; indstillinger'!$E$18,'Model &amp; indstillinger'!$E$20)*(MAX(AA54,AC54,AE54)-((AA54*AB54+AC54*AD54+AE54*AF54)/(AB54+AD54+AF54))),0)))</x:f>
      </x:c>
      <x:c r="Y54" s="62" t="str">
        <x:f>IF(X54="","",'Model &amp; indstillinger'!$B$4-X54)</x:f>
      </x:c>
      <x:c r="Z54" s="62" t="str">
        <x:f>IF(C54="","",IF(H54="Planlagt","Planlagt – ingen point endnu",IF(H54="Ikke spillet","Ikke spillet – tæller ikke som kamp og giver ingen point",IF(AN54=1,"STÆVNE SLUT – samlet point tilskrives","Frosset pointgrundlag – ingen tilskrivning endnu"))))</x:f>
      </x:c>
      <x:c r="AA54" s="60" t="str">
        <x:f>IF(C54="","",'Model &amp; indstillinger'!$B$6+SUMIFS($U$10:U54,$G$10:G54,"Single"))</x:f>
      </x:c>
      <x:c r="AB54" s="60" t="str">
        <x:f>IF(C54="","",'Model &amp; indstillinger'!$B$7+COUNTIFS($G$10:G54,"Single",$AK$10:AK54,1))</x:f>
      </x:c>
      <x:c r="AC54" s="60" t="str">
        <x:f>IF(C54="","",'Model &amp; indstillinger'!$B$8+SUMIFS($U$10:U54,$G$10:G54,"Double"))</x:f>
      </x:c>
      <x:c r="AD54" s="60" t="str">
        <x:f>IF(C54="","",'Model &amp; indstillinger'!$B$9+COUNTIFS($G$10:G54,"Double",$AK$10:AK54,1))</x:f>
      </x:c>
      <x:c r="AE54" s="60" t="str">
        <x:f>IF(C54="","",'Model &amp; indstillinger'!$B$10+SUMIFS($U$10:U54,$G$10:G54,"Mix"))</x:f>
      </x:c>
      <x:c r="AF54" s="60" t="str">
        <x:f>IF(C54="","",'Model &amp; indstillinger'!$B$11+COUNTIFS($G$10:G54,"Mix",$AK$10:AK54,1))</x:f>
      </x:c>
      <x:c r="AG54" s="60" t="str">
        <x:f>IF(C54="","",IF(C54=C53,AG53,AG53+1))</x:f>
      </x:c>
      <x:c r="AH54" s="60" t="str">
        <x:f>IF(C54="","",IF(AG54=AG53,AH53,AA53))</x:f>
      </x:c>
      <x:c r="AI54" s="60" t="str">
        <x:f>IF(C54="","",IF(AG54=AG53,AI53,AC53))</x:f>
      </x:c>
      <x:c r="AJ54" s="60" t="str">
        <x:f>IF(C54="","",IF(AG54=AG53,AJ53,AE53))</x:f>
      </x:c>
      <x:c r="AK54" s="60" t="n">
        <x:f>IF(OR(H54="Vundet",H54="Tabt"),1,0)</x:f>
        <x:v>0</x:v>
      </x:c>
      <x:c r="AL54" s="60" t="n"/>
      <x:c r="AM54" s="60" t="n">
        <x:f>MAX($AG$10:$AG$209)</x:f>
        <x:v>4</x:v>
      </x:c>
      <x:c r="AN54" s="60" t="str">
        <x:f>IF(C54="","",IF(AND(C55&lt;&gt;"",C55&lt;&gt;C54),1,0))</x:f>
      </x:c>
      <x:c r="AO54" s="60" t="n"/>
      <x:c r="AP54" s="60" t="n">
        <x:f>MAX($AG$10:$AG$209)</x:f>
        <x:v>4</x:v>
      </x:c>
      <x:c r="AQ54" t="str">
        <x:f>AG54</x:f>
      </x:c>
      <x:c r="AR54" t="n">
        <x:f>C54</x:f>
        <x:v>0</x:v>
      </x:c>
      <x:c r="AS54" t="n">
        <x:f>E54</x:f>
        <x:v>0</x:v>
      </x:c>
    </x:row>
    <x:row r="55">
      <x:c r="A55" s="60" t="str">
        <x:f>IF(C55="","",COUNTIF($C$10:C55,"&lt;&gt;"))</x:f>
      </x:c>
      <x:c r="B55" s="122" t="n"/>
      <x:c r="C55" s="87" t="n"/>
      <x:c r="D55" s="87" t="n"/>
      <x:c r="E55" s="87" t="n"/>
      <x:c r="F55" s="87" t="n"/>
      <x:c r="G55" s="87" t="n"/>
      <x:c r="H55" s="87" t="n"/>
      <x:c r="I55" s="87" t="n"/>
      <x:c r="J55" s="87" t="n"/>
      <x:c r="K55" s="87" t="n"/>
      <x:c r="L55" s="87" t="n"/>
      <x:c r="M55" s="87" t="n"/>
      <x:c r="N55" s="87" t="n"/>
      <x:c r="O55" s="62" t="str">
        <x:f>IF(G55="","",IF(G55="Single",AH55,IF(G55="Double",AI55,AJ55)))</x:f>
      </x:c>
      <x:c r="P55" s="62" t="str">
        <x:f>IF(OR(G55="",H55="Ikke spillet"),"",IF(G55="Single",O55,IF(J55="","",(O55+J55)/2)))</x:f>
      </x:c>
      <x:c r="Q55" s="62" t="str">
        <x:f>IF(OR(G55="",H55="Ikke spillet"),"",IF(G55="Single",L55,IF(OR(L55="",N55=""),"",(L55+N55)/2)))</x:f>
      </x:c>
      <x:c r="R55" s="62" t="str">
        <x:f>IF(OR(P55="",Q55=""),"",Q55-P55)</x:f>
      </x:c>
      <x:c r="S55" s="62" t="str">
        <x:f>IF(H55="Ikke spillet","",IF(R55="","",IF(ABS(R55)&lt;0.000001,"Lige (0)",VLOOKUP(ABS(R55),'BD Pointtabel'!$A$4:$G$15,2,TRUE))))</x:f>
      </x:c>
      <x:c r="T55" s="62" t="str">
        <x:f>IF(H55="Ikke spillet","Ikke spillet",IF(H55="Planlagt","Planlagt",IF(OR(H55="",P55="",Q55=""),"",IF(H55="Vundet",IF(R55&gt;0,"Uventet sejr","Ventet sejr"),IF(R55&gt;=0,"Ventet nederlag","Uventet nederlag")))))</x:f>
      </x:c>
      <x:c r="U55" s="62" t="str">
        <x:f>IF(OR(H55="Ikke spillet",H55="Planlagt"),"",IF(OR(G55="",H55="",P55="",Q55=""),"",IF(AND(F55="Ungdomsholdturnering",OR(G55="Double",G55="Mix"),H55="Tabt"),0,IF(H55="Vundet",IF(R55&gt;0,VLOOKUP(ABS(R55),'BD Pointtabel'!$A$4:$G$15,4,TRUE),VLOOKUP(ABS(R55),'BD Pointtabel'!$A$4:$G$15,7,TRUE)),IF(R55&gt;=0,VLOOKUP(ABS(R55),'BD Pointtabel'!$A$4:$G$15,6,TRUE),VLOOKUP(ABS(R55),'BD Pointtabel'!$A$4:$G$15,3,TRUE))))))</x:f>
      </x:c>
      <x:c r="V55" s="62" t="str">
        <x:f>IF(G55="","",SUMIFS($U$10:U55,$AG$10:AG55,AG55,$G$10:G55,G55))</x:f>
      </x:c>
      <x:c r="W55" s="62" t="str">
        <x:f>IF(C55="","",IF(AN55&lt;&gt;1,"",IF(G55="Single",AA55,IF(G55="Double",AC55,AE55))))</x:f>
      </x:c>
      <x:c r="X55" s="62" t="str">
        <x:f>IF(C55="","",IF(AN55&lt;&gt;1,"",ROUND(((AA55*AB55+AC55*AD55+AE55*AF55)/(AB55+AD55+AF55))+IF((MAX(AA55,AC55,AE55)-(AA55+AC55+AE55-MAX(AA55,AC55,AE55)-MIN(AA55,AC55,AE55)))&lt;'Model &amp; indstillinger'!$E$16,'Model &amp; indstillinger'!$E$18,'Model &amp; indstillinger'!$E$20)*(MAX(AA55,AC55,AE55)-((AA55*AB55+AC55*AD55+AE55*AF55)/(AB55+AD55+AF55))),0)))</x:f>
      </x:c>
      <x:c r="Y55" s="62" t="str">
        <x:f>IF(X55="","",'Model &amp; indstillinger'!$B$4-X55)</x:f>
      </x:c>
      <x:c r="Z55" s="62" t="str">
        <x:f>IF(C55="","",IF(H55="Planlagt","Planlagt – ingen point endnu",IF(H55="Ikke spillet","Ikke spillet – tæller ikke som kamp og giver ingen point",IF(AN55=1,"STÆVNE SLUT – samlet point tilskrives","Frosset pointgrundlag – ingen tilskrivning endnu"))))</x:f>
      </x:c>
      <x:c r="AA55" s="60" t="str">
        <x:f>IF(C55="","",'Model &amp; indstillinger'!$B$6+SUMIFS($U$10:U55,$G$10:G55,"Single"))</x:f>
      </x:c>
      <x:c r="AB55" s="60" t="str">
        <x:f>IF(C55="","",'Model &amp; indstillinger'!$B$7+COUNTIFS($G$10:G55,"Single",$AK$10:AK55,1))</x:f>
      </x:c>
      <x:c r="AC55" s="60" t="str">
        <x:f>IF(C55="","",'Model &amp; indstillinger'!$B$8+SUMIFS($U$10:U55,$G$10:G55,"Double"))</x:f>
      </x:c>
      <x:c r="AD55" s="60" t="str">
        <x:f>IF(C55="","",'Model &amp; indstillinger'!$B$9+COUNTIFS($G$10:G55,"Double",$AK$10:AK55,1))</x:f>
      </x:c>
      <x:c r="AE55" s="60" t="str">
        <x:f>IF(C55="","",'Model &amp; indstillinger'!$B$10+SUMIFS($U$10:U55,$G$10:G55,"Mix"))</x:f>
      </x:c>
      <x:c r="AF55" s="60" t="str">
        <x:f>IF(C55="","",'Model &amp; indstillinger'!$B$11+COUNTIFS($G$10:G55,"Mix",$AK$10:AK55,1))</x:f>
      </x:c>
      <x:c r="AG55" s="60" t="str">
        <x:f>IF(C55="","",IF(C55=C54,AG54,AG54+1))</x:f>
      </x:c>
      <x:c r="AH55" s="60" t="str">
        <x:f>IF(C55="","",IF(AG55=AG54,AH54,AA54))</x:f>
      </x:c>
      <x:c r="AI55" s="60" t="str">
        <x:f>IF(C55="","",IF(AG55=AG54,AI54,AC54))</x:f>
      </x:c>
      <x:c r="AJ55" s="60" t="str">
        <x:f>IF(C55="","",IF(AG55=AG54,AJ54,AE54))</x:f>
      </x:c>
      <x:c r="AK55" s="60" t="n">
        <x:f>IF(OR(H55="Vundet",H55="Tabt"),1,0)</x:f>
        <x:v>0</x:v>
      </x:c>
      <x:c r="AL55" s="60" t="n"/>
      <x:c r="AM55" s="60" t="n">
        <x:f>MAX($AG$10:$AG$209)</x:f>
        <x:v>4</x:v>
      </x:c>
      <x:c r="AN55" s="60" t="str">
        <x:f>IF(C55="","",IF(AND(C56&lt;&gt;"",C56&lt;&gt;C55),1,0))</x:f>
      </x:c>
      <x:c r="AO55" s="60" t="n"/>
      <x:c r="AP55" s="60" t="n">
        <x:f>MAX($AG$10:$AG$209)</x:f>
        <x:v>4</x:v>
      </x:c>
      <x:c r="AQ55" t="str">
        <x:f>AG55</x:f>
      </x:c>
      <x:c r="AR55" t="n">
        <x:f>C55</x:f>
        <x:v>0</x:v>
      </x:c>
      <x:c r="AS55" t="n">
        <x:f>E55</x:f>
        <x:v>0</x:v>
      </x:c>
    </x:row>
    <x:row r="56">
      <x:c r="A56" s="60" t="str">
        <x:f>IF(C56="","",COUNTIF($C$10:C56,"&lt;&gt;"))</x:f>
      </x:c>
      <x:c r="B56" s="122" t="n"/>
      <x:c r="C56" s="87" t="n"/>
      <x:c r="D56" s="87" t="n"/>
      <x:c r="E56" s="87" t="n"/>
      <x:c r="F56" s="87" t="n"/>
      <x:c r="G56" s="87" t="n"/>
      <x:c r="H56" s="87" t="n"/>
      <x:c r="I56" s="87" t="n"/>
      <x:c r="J56" s="87" t="n"/>
      <x:c r="K56" s="87" t="n"/>
      <x:c r="L56" s="87" t="n"/>
      <x:c r="M56" s="87" t="n"/>
      <x:c r="N56" s="87" t="n"/>
      <x:c r="O56" s="62" t="str">
        <x:f>IF(G56="","",IF(G56="Single",AH56,IF(G56="Double",AI56,AJ56)))</x:f>
      </x:c>
      <x:c r="P56" s="62" t="str">
        <x:f>IF(OR(G56="",H56="Ikke spillet"),"",IF(G56="Single",O56,IF(J56="","",(O56+J56)/2)))</x:f>
      </x:c>
      <x:c r="Q56" s="62" t="str">
        <x:f>IF(OR(G56="",H56="Ikke spillet"),"",IF(G56="Single",L56,IF(OR(L56="",N56=""),"",(L56+N56)/2)))</x:f>
      </x:c>
      <x:c r="R56" s="62" t="str">
        <x:f>IF(OR(P56="",Q56=""),"",Q56-P56)</x:f>
      </x:c>
      <x:c r="S56" s="62" t="str">
        <x:f>IF(H56="Ikke spillet","",IF(R56="","",IF(ABS(R56)&lt;0.000001,"Lige (0)",VLOOKUP(ABS(R56),'BD Pointtabel'!$A$4:$G$15,2,TRUE))))</x:f>
      </x:c>
      <x:c r="T56" s="62" t="str">
        <x:f>IF(H56="Ikke spillet","Ikke spillet",IF(H56="Planlagt","Planlagt",IF(OR(H56="",P56="",Q56=""),"",IF(H56="Vundet",IF(R56&gt;0,"Uventet sejr","Ventet sejr"),IF(R56&gt;=0,"Ventet nederlag","Uventet nederlag")))))</x:f>
      </x:c>
      <x:c r="U56" s="62" t="str">
        <x:f>IF(OR(H56="Ikke spillet",H56="Planlagt"),"",IF(OR(G56="",H56="",P56="",Q56=""),"",IF(AND(F56="Ungdomsholdturnering",OR(G56="Double",G56="Mix"),H56="Tabt"),0,IF(H56="Vundet",IF(R56&gt;0,VLOOKUP(ABS(R56),'BD Pointtabel'!$A$4:$G$15,4,TRUE),VLOOKUP(ABS(R56),'BD Pointtabel'!$A$4:$G$15,7,TRUE)),IF(R56&gt;=0,VLOOKUP(ABS(R56),'BD Pointtabel'!$A$4:$G$15,6,TRUE),VLOOKUP(ABS(R56),'BD Pointtabel'!$A$4:$G$15,3,TRUE))))))</x:f>
      </x:c>
      <x:c r="V56" s="62" t="str">
        <x:f>IF(G56="","",SUMIFS($U$10:U56,$AG$10:AG56,AG56,$G$10:G56,G56))</x:f>
      </x:c>
      <x:c r="W56" s="62" t="str">
        <x:f>IF(C56="","",IF(AN56&lt;&gt;1,"",IF(G56="Single",AA56,IF(G56="Double",AC56,AE56))))</x:f>
      </x:c>
      <x:c r="X56" s="62" t="str">
        <x:f>IF(C56="","",IF(AN56&lt;&gt;1,"",ROUND(((AA56*AB56+AC56*AD56+AE56*AF56)/(AB56+AD56+AF56))+IF((MAX(AA56,AC56,AE56)-(AA56+AC56+AE56-MAX(AA56,AC56,AE56)-MIN(AA56,AC56,AE56)))&lt;'Model &amp; indstillinger'!$E$16,'Model &amp; indstillinger'!$E$18,'Model &amp; indstillinger'!$E$20)*(MAX(AA56,AC56,AE56)-((AA56*AB56+AC56*AD56+AE56*AF56)/(AB56+AD56+AF56))),0)))</x:f>
      </x:c>
      <x:c r="Y56" s="62" t="str">
        <x:f>IF(X56="","",'Model &amp; indstillinger'!$B$4-X56)</x:f>
      </x:c>
      <x:c r="Z56" s="62" t="str">
        <x:f>IF(C56="","",IF(H56="Planlagt","Planlagt – ingen point endnu",IF(H56="Ikke spillet","Ikke spillet – tæller ikke som kamp og giver ingen point",IF(AN56=1,"STÆVNE SLUT – samlet point tilskrives","Frosset pointgrundlag – ingen tilskrivning endnu"))))</x:f>
      </x:c>
      <x:c r="AA56" s="60" t="str">
        <x:f>IF(C56="","",'Model &amp; indstillinger'!$B$6+SUMIFS($U$10:U56,$G$10:G56,"Single"))</x:f>
      </x:c>
      <x:c r="AB56" s="60" t="str">
        <x:f>IF(C56="","",'Model &amp; indstillinger'!$B$7+COUNTIFS($G$10:G56,"Single",$AK$10:AK56,1))</x:f>
      </x:c>
      <x:c r="AC56" s="60" t="str">
        <x:f>IF(C56="","",'Model &amp; indstillinger'!$B$8+SUMIFS($U$10:U56,$G$10:G56,"Double"))</x:f>
      </x:c>
      <x:c r="AD56" s="60" t="str">
        <x:f>IF(C56="","",'Model &amp; indstillinger'!$B$9+COUNTIFS($G$10:G56,"Double",$AK$10:AK56,1))</x:f>
      </x:c>
      <x:c r="AE56" s="60" t="str">
        <x:f>IF(C56="","",'Model &amp; indstillinger'!$B$10+SUMIFS($U$10:U56,$G$10:G56,"Mix"))</x:f>
      </x:c>
      <x:c r="AF56" s="60" t="str">
        <x:f>IF(C56="","",'Model &amp; indstillinger'!$B$11+COUNTIFS($G$10:G56,"Mix",$AK$10:AK56,1))</x:f>
      </x:c>
      <x:c r="AG56" s="60" t="str">
        <x:f>IF(C56="","",IF(C56=C55,AG55,AG55+1))</x:f>
      </x:c>
      <x:c r="AH56" s="60" t="str">
        <x:f>IF(C56="","",IF(AG56=AG55,AH55,AA55))</x:f>
      </x:c>
      <x:c r="AI56" s="60" t="str">
        <x:f>IF(C56="","",IF(AG56=AG55,AI55,AC55))</x:f>
      </x:c>
      <x:c r="AJ56" s="60" t="str">
        <x:f>IF(C56="","",IF(AG56=AG55,AJ55,AE55))</x:f>
      </x:c>
      <x:c r="AK56" s="60" t="n">
        <x:f>IF(OR(H56="Vundet",H56="Tabt"),1,0)</x:f>
        <x:v>0</x:v>
      </x:c>
      <x:c r="AL56" s="60" t="n"/>
      <x:c r="AM56" s="60" t="n">
        <x:f>MAX($AG$10:$AG$209)</x:f>
        <x:v>4</x:v>
      </x:c>
      <x:c r="AN56" s="60" t="str">
        <x:f>IF(C56="","",IF(AND(C57&lt;&gt;"",C57&lt;&gt;C56),1,0))</x:f>
      </x:c>
      <x:c r="AO56" s="60" t="n"/>
      <x:c r="AP56" s="60" t="n">
        <x:f>MAX($AG$10:$AG$209)</x:f>
        <x:v>4</x:v>
      </x:c>
      <x:c r="AQ56" t="str">
        <x:f>AG56</x:f>
      </x:c>
      <x:c r="AR56" t="n">
        <x:f>C56</x:f>
        <x:v>0</x:v>
      </x:c>
      <x:c r="AS56" t="n">
        <x:f>E56</x:f>
        <x:v>0</x:v>
      </x:c>
    </x:row>
    <x:row r="57">
      <x:c r="A57" s="60" t="str">
        <x:f>IF(C57="","",COUNTIF($C$10:C57,"&lt;&gt;"))</x:f>
      </x:c>
      <x:c r="B57" s="122" t="n"/>
      <x:c r="C57" s="87" t="n"/>
      <x:c r="D57" s="87" t="n"/>
      <x:c r="E57" s="87" t="n"/>
      <x:c r="F57" s="87" t="n"/>
      <x:c r="G57" s="87" t="n"/>
      <x:c r="H57" s="87" t="n"/>
      <x:c r="I57" s="87" t="n"/>
      <x:c r="J57" s="87" t="n"/>
      <x:c r="K57" s="87" t="n"/>
      <x:c r="L57" s="87" t="n"/>
      <x:c r="M57" s="87" t="n"/>
      <x:c r="N57" s="87" t="n"/>
      <x:c r="O57" s="62" t="str">
        <x:f>IF(G57="","",IF(G57="Single",AH57,IF(G57="Double",AI57,AJ57)))</x:f>
      </x:c>
      <x:c r="P57" s="62" t="str">
        <x:f>IF(OR(G57="",H57="Ikke spillet"),"",IF(G57="Single",O57,IF(J57="","",(O57+J57)/2)))</x:f>
      </x:c>
      <x:c r="Q57" s="62" t="str">
        <x:f>IF(OR(G57="",H57="Ikke spillet"),"",IF(G57="Single",L57,IF(OR(L57="",N57=""),"",(L57+N57)/2)))</x:f>
      </x:c>
      <x:c r="R57" s="62" t="str">
        <x:f>IF(OR(P57="",Q57=""),"",Q57-P57)</x:f>
      </x:c>
      <x:c r="S57" s="62" t="str">
        <x:f>IF(H57="Ikke spillet","",IF(R57="","",IF(ABS(R57)&lt;0.000001,"Lige (0)",VLOOKUP(ABS(R57),'BD Pointtabel'!$A$4:$G$15,2,TRUE))))</x:f>
      </x:c>
      <x:c r="T57" s="62" t="str">
        <x:f>IF(H57="Ikke spillet","Ikke spillet",IF(H57="Planlagt","Planlagt",IF(OR(H57="",P57="",Q57=""),"",IF(H57="Vundet",IF(R57&gt;0,"Uventet sejr","Ventet sejr"),IF(R57&gt;=0,"Ventet nederlag","Uventet nederlag")))))</x:f>
      </x:c>
      <x:c r="U57" s="62" t="str">
        <x:f>IF(OR(H57="Ikke spillet",H57="Planlagt"),"",IF(OR(G57="",H57="",P57="",Q57=""),"",IF(AND(F57="Ungdomsholdturnering",OR(G57="Double",G57="Mix"),H57="Tabt"),0,IF(H57="Vundet",IF(R57&gt;0,VLOOKUP(ABS(R57),'BD Pointtabel'!$A$4:$G$15,4,TRUE),VLOOKUP(ABS(R57),'BD Pointtabel'!$A$4:$G$15,7,TRUE)),IF(R57&gt;=0,VLOOKUP(ABS(R57),'BD Pointtabel'!$A$4:$G$15,6,TRUE),VLOOKUP(ABS(R57),'BD Pointtabel'!$A$4:$G$15,3,TRUE))))))</x:f>
      </x:c>
      <x:c r="V57" s="62" t="str">
        <x:f>IF(G57="","",SUMIFS($U$10:U57,$AG$10:AG57,AG57,$G$10:G57,G57))</x:f>
      </x:c>
      <x:c r="W57" s="62" t="str">
        <x:f>IF(C57="","",IF(AN57&lt;&gt;1,"",IF(G57="Single",AA57,IF(G57="Double",AC57,AE57))))</x:f>
      </x:c>
      <x:c r="X57" s="62" t="str">
        <x:f>IF(C57="","",IF(AN57&lt;&gt;1,"",ROUND(((AA57*AB57+AC57*AD57+AE57*AF57)/(AB57+AD57+AF57))+IF((MAX(AA57,AC57,AE57)-(AA57+AC57+AE57-MAX(AA57,AC57,AE57)-MIN(AA57,AC57,AE57)))&lt;'Model &amp; indstillinger'!$E$16,'Model &amp; indstillinger'!$E$18,'Model &amp; indstillinger'!$E$20)*(MAX(AA57,AC57,AE57)-((AA57*AB57+AC57*AD57+AE57*AF57)/(AB57+AD57+AF57))),0)))</x:f>
      </x:c>
      <x:c r="Y57" s="62" t="str">
        <x:f>IF(X57="","",'Model &amp; indstillinger'!$B$4-X57)</x:f>
      </x:c>
      <x:c r="Z57" s="62" t="str">
        <x:f>IF(C57="","",IF(H57="Planlagt","Planlagt – ingen point endnu",IF(H57="Ikke spillet","Ikke spillet – tæller ikke som kamp og giver ingen point",IF(AN57=1,"STÆVNE SLUT – samlet point tilskrives","Frosset pointgrundlag – ingen tilskrivning endnu"))))</x:f>
      </x:c>
      <x:c r="AA57" s="60" t="str">
        <x:f>IF(C57="","",'Model &amp; indstillinger'!$B$6+SUMIFS($U$10:U57,$G$10:G57,"Single"))</x:f>
      </x:c>
      <x:c r="AB57" s="60" t="str">
        <x:f>IF(C57="","",'Model &amp; indstillinger'!$B$7+COUNTIFS($G$10:G57,"Single",$AK$10:AK57,1))</x:f>
      </x:c>
      <x:c r="AC57" s="60" t="str">
        <x:f>IF(C57="","",'Model &amp; indstillinger'!$B$8+SUMIFS($U$10:U57,$G$10:G57,"Double"))</x:f>
      </x:c>
      <x:c r="AD57" s="60" t="str">
        <x:f>IF(C57="","",'Model &amp; indstillinger'!$B$9+COUNTIFS($G$10:G57,"Double",$AK$10:AK57,1))</x:f>
      </x:c>
      <x:c r="AE57" s="60" t="str">
        <x:f>IF(C57="","",'Model &amp; indstillinger'!$B$10+SUMIFS($U$10:U57,$G$10:G57,"Mix"))</x:f>
      </x:c>
      <x:c r="AF57" s="60" t="str">
        <x:f>IF(C57="","",'Model &amp; indstillinger'!$B$11+COUNTIFS($G$10:G57,"Mix",$AK$10:AK57,1))</x:f>
      </x:c>
      <x:c r="AG57" s="60" t="str">
        <x:f>IF(C57="","",IF(C57=C56,AG56,AG56+1))</x:f>
      </x:c>
      <x:c r="AH57" s="60" t="str">
        <x:f>IF(C57="","",IF(AG57=AG56,AH56,AA56))</x:f>
      </x:c>
      <x:c r="AI57" s="60" t="str">
        <x:f>IF(C57="","",IF(AG57=AG56,AI56,AC56))</x:f>
      </x:c>
      <x:c r="AJ57" s="60" t="str">
        <x:f>IF(C57="","",IF(AG57=AG56,AJ56,AE56))</x:f>
      </x:c>
      <x:c r="AK57" s="60" t="n">
        <x:f>IF(OR(H57="Vundet",H57="Tabt"),1,0)</x:f>
        <x:v>0</x:v>
      </x:c>
      <x:c r="AL57" s="60" t="n"/>
      <x:c r="AM57" s="60" t="n">
        <x:f>MAX($AG$10:$AG$209)</x:f>
        <x:v>4</x:v>
      </x:c>
      <x:c r="AN57" s="60" t="str">
        <x:f>IF(C57="","",IF(AND(C58&lt;&gt;"",C58&lt;&gt;C57),1,0))</x:f>
      </x:c>
      <x:c r="AO57" s="60" t="n"/>
      <x:c r="AP57" s="60" t="n">
        <x:f>MAX($AG$10:$AG$209)</x:f>
        <x:v>4</x:v>
      </x:c>
      <x:c r="AQ57" t="str">
        <x:f>AG57</x:f>
      </x:c>
      <x:c r="AR57" t="n">
        <x:f>C57</x:f>
        <x:v>0</x:v>
      </x:c>
      <x:c r="AS57" t="n">
        <x:f>E57</x:f>
        <x:v>0</x:v>
      </x:c>
    </x:row>
    <x:row r="58">
      <x:c r="A58" s="60" t="str">
        <x:f>IF(C58="","",COUNTIF($C$10:C58,"&lt;&gt;"))</x:f>
      </x:c>
      <x:c r="B58" s="122" t="n"/>
      <x:c r="C58" s="87" t="n"/>
      <x:c r="D58" s="87" t="n"/>
      <x:c r="E58" s="87" t="n"/>
      <x:c r="F58" s="87" t="n"/>
      <x:c r="G58" s="87" t="n"/>
      <x:c r="H58" s="87" t="n"/>
      <x:c r="I58" s="87" t="n"/>
      <x:c r="J58" s="87" t="n"/>
      <x:c r="K58" s="87" t="n"/>
      <x:c r="L58" s="87" t="n"/>
      <x:c r="M58" s="87" t="n"/>
      <x:c r="N58" s="87" t="n"/>
      <x:c r="O58" s="62" t="str">
        <x:f>IF(G58="","",IF(G58="Single",AH58,IF(G58="Double",AI58,AJ58)))</x:f>
      </x:c>
      <x:c r="P58" s="62" t="str">
        <x:f>IF(OR(G58="",H58="Ikke spillet"),"",IF(G58="Single",O58,IF(J58="","",(O58+J58)/2)))</x:f>
      </x:c>
      <x:c r="Q58" s="62" t="str">
        <x:f>IF(OR(G58="",H58="Ikke spillet"),"",IF(G58="Single",L58,IF(OR(L58="",N58=""),"",(L58+N58)/2)))</x:f>
      </x:c>
      <x:c r="R58" s="62" t="str">
        <x:f>IF(OR(P58="",Q58=""),"",Q58-P58)</x:f>
      </x:c>
      <x:c r="S58" s="62" t="str">
        <x:f>IF(H58="Ikke spillet","",IF(R58="","",IF(ABS(R58)&lt;0.000001,"Lige (0)",VLOOKUP(ABS(R58),'BD Pointtabel'!$A$4:$G$15,2,TRUE))))</x:f>
      </x:c>
      <x:c r="T58" s="62" t="str">
        <x:f>IF(H58="Ikke spillet","Ikke spillet",IF(H58="Planlagt","Planlagt",IF(OR(H58="",P58="",Q58=""),"",IF(H58="Vundet",IF(R58&gt;0,"Uventet sejr","Ventet sejr"),IF(R58&gt;=0,"Ventet nederlag","Uventet nederlag")))))</x:f>
      </x:c>
      <x:c r="U58" s="62" t="str">
        <x:f>IF(OR(H58="Ikke spillet",H58="Planlagt"),"",IF(OR(G58="",H58="",P58="",Q58=""),"",IF(AND(F58="Ungdomsholdturnering",OR(G58="Double",G58="Mix"),H58="Tabt"),0,IF(H58="Vundet",IF(R58&gt;0,VLOOKUP(ABS(R58),'BD Pointtabel'!$A$4:$G$15,4,TRUE),VLOOKUP(ABS(R58),'BD Pointtabel'!$A$4:$G$15,7,TRUE)),IF(R58&gt;=0,VLOOKUP(ABS(R58),'BD Pointtabel'!$A$4:$G$15,6,TRUE),VLOOKUP(ABS(R58),'BD Pointtabel'!$A$4:$G$15,3,TRUE))))))</x:f>
      </x:c>
      <x:c r="V58" s="62" t="str">
        <x:f>IF(G58="","",SUMIFS($U$10:U58,$AG$10:AG58,AG58,$G$10:G58,G58))</x:f>
      </x:c>
      <x:c r="W58" s="62" t="str">
        <x:f>IF(C58="","",IF(AN58&lt;&gt;1,"",IF(G58="Single",AA58,IF(G58="Double",AC58,AE58))))</x:f>
      </x:c>
      <x:c r="X58" s="62" t="str">
        <x:f>IF(C58="","",IF(AN58&lt;&gt;1,"",ROUND(((AA58*AB58+AC58*AD58+AE58*AF58)/(AB58+AD58+AF58))+IF((MAX(AA58,AC58,AE58)-(AA58+AC58+AE58-MAX(AA58,AC58,AE58)-MIN(AA58,AC58,AE58)))&lt;'Model &amp; indstillinger'!$E$16,'Model &amp; indstillinger'!$E$18,'Model &amp; indstillinger'!$E$20)*(MAX(AA58,AC58,AE58)-((AA58*AB58+AC58*AD58+AE58*AF58)/(AB58+AD58+AF58))),0)))</x:f>
      </x:c>
      <x:c r="Y58" s="62" t="str">
        <x:f>IF(X58="","",'Model &amp; indstillinger'!$B$4-X58)</x:f>
      </x:c>
      <x:c r="Z58" s="62" t="str">
        <x:f>IF(C58="","",IF(H58="Planlagt","Planlagt – ingen point endnu",IF(H58="Ikke spillet","Ikke spillet – tæller ikke som kamp og giver ingen point",IF(AN58=1,"STÆVNE SLUT – samlet point tilskrives","Frosset pointgrundlag – ingen tilskrivning endnu"))))</x:f>
      </x:c>
      <x:c r="AA58" s="60" t="str">
        <x:f>IF(C58="","",'Model &amp; indstillinger'!$B$6+SUMIFS($U$10:U58,$G$10:G58,"Single"))</x:f>
      </x:c>
      <x:c r="AB58" s="60" t="str">
        <x:f>IF(C58="","",'Model &amp; indstillinger'!$B$7+COUNTIFS($G$10:G58,"Single",$AK$10:AK58,1))</x:f>
      </x:c>
      <x:c r="AC58" s="60" t="str">
        <x:f>IF(C58="","",'Model &amp; indstillinger'!$B$8+SUMIFS($U$10:U58,$G$10:G58,"Double"))</x:f>
      </x:c>
      <x:c r="AD58" s="60" t="str">
        <x:f>IF(C58="","",'Model &amp; indstillinger'!$B$9+COUNTIFS($G$10:G58,"Double",$AK$10:AK58,1))</x:f>
      </x:c>
      <x:c r="AE58" s="60" t="str">
        <x:f>IF(C58="","",'Model &amp; indstillinger'!$B$10+SUMIFS($U$10:U58,$G$10:G58,"Mix"))</x:f>
      </x:c>
      <x:c r="AF58" s="60" t="str">
        <x:f>IF(C58="","",'Model &amp; indstillinger'!$B$11+COUNTIFS($G$10:G58,"Mix",$AK$10:AK58,1))</x:f>
      </x:c>
      <x:c r="AG58" s="60" t="str">
        <x:f>IF(C58="","",IF(C58=C57,AG57,AG57+1))</x:f>
      </x:c>
      <x:c r="AH58" s="60" t="str">
        <x:f>IF(C58="","",IF(AG58=AG57,AH57,AA57))</x:f>
      </x:c>
      <x:c r="AI58" s="60" t="str">
        <x:f>IF(C58="","",IF(AG58=AG57,AI57,AC57))</x:f>
      </x:c>
      <x:c r="AJ58" s="60" t="str">
        <x:f>IF(C58="","",IF(AG58=AG57,AJ57,AE57))</x:f>
      </x:c>
      <x:c r="AK58" s="60" t="n">
        <x:f>IF(OR(H58="Vundet",H58="Tabt"),1,0)</x:f>
        <x:v>0</x:v>
      </x:c>
      <x:c r="AL58" s="60" t="n"/>
      <x:c r="AM58" s="60" t="n">
        <x:f>MAX($AG$10:$AG$209)</x:f>
        <x:v>4</x:v>
      </x:c>
      <x:c r="AN58" s="60" t="str">
        <x:f>IF(C58="","",IF(AND(C59&lt;&gt;"",C59&lt;&gt;C58),1,0))</x:f>
      </x:c>
      <x:c r="AO58" s="60" t="n"/>
      <x:c r="AP58" s="60" t="n">
        <x:f>MAX($AG$10:$AG$209)</x:f>
        <x:v>4</x:v>
      </x:c>
      <x:c r="AQ58" t="str">
        <x:f>AG58</x:f>
      </x:c>
      <x:c r="AR58" t="n">
        <x:f>C58</x:f>
        <x:v>0</x:v>
      </x:c>
      <x:c r="AS58" t="n">
        <x:f>E58</x:f>
        <x:v>0</x:v>
      </x:c>
    </x:row>
    <x:row r="59">
      <x:c r="A59" s="60" t="str">
        <x:f>IF(C59="","",COUNTIF($C$10:C59,"&lt;&gt;"))</x:f>
      </x:c>
      <x:c r="B59" s="122" t="n"/>
      <x:c r="C59" s="87" t="n"/>
      <x:c r="D59" s="87" t="n"/>
      <x:c r="E59" s="87" t="n"/>
      <x:c r="F59" s="87" t="n"/>
      <x:c r="G59" s="87" t="n"/>
      <x:c r="H59" s="87" t="n"/>
      <x:c r="I59" s="87" t="n"/>
      <x:c r="J59" s="87" t="n"/>
      <x:c r="K59" s="87" t="n"/>
      <x:c r="L59" s="87" t="n"/>
      <x:c r="M59" s="87" t="n"/>
      <x:c r="N59" s="87" t="n"/>
      <x:c r="O59" s="62" t="str">
        <x:f>IF(G59="","",IF(G59="Single",AH59,IF(G59="Double",AI59,AJ59)))</x:f>
      </x:c>
      <x:c r="P59" s="62" t="str">
        <x:f>IF(OR(G59="",H59="Ikke spillet"),"",IF(G59="Single",O59,IF(J59="","",(O59+J59)/2)))</x:f>
      </x:c>
      <x:c r="Q59" s="62" t="str">
        <x:f>IF(OR(G59="",H59="Ikke spillet"),"",IF(G59="Single",L59,IF(OR(L59="",N59=""),"",(L59+N59)/2)))</x:f>
      </x:c>
      <x:c r="R59" s="62" t="str">
        <x:f>IF(OR(P59="",Q59=""),"",Q59-P59)</x:f>
      </x:c>
      <x:c r="S59" s="62" t="str">
        <x:f>IF(H59="Ikke spillet","",IF(R59="","",IF(ABS(R59)&lt;0.000001,"Lige (0)",VLOOKUP(ABS(R59),'BD Pointtabel'!$A$4:$G$15,2,TRUE))))</x:f>
      </x:c>
      <x:c r="T59" s="62" t="str">
        <x:f>IF(H59="Ikke spillet","Ikke spillet",IF(H59="Planlagt","Planlagt",IF(OR(H59="",P59="",Q59=""),"",IF(H59="Vundet",IF(R59&gt;0,"Uventet sejr","Ventet sejr"),IF(R59&gt;=0,"Ventet nederlag","Uventet nederlag")))))</x:f>
      </x:c>
      <x:c r="U59" s="62" t="str">
        <x:f>IF(OR(H59="Ikke spillet",H59="Planlagt"),"",IF(OR(G59="",H59="",P59="",Q59=""),"",IF(AND(F59="Ungdomsholdturnering",OR(G59="Double",G59="Mix"),H59="Tabt"),0,IF(H59="Vundet",IF(R59&gt;0,VLOOKUP(ABS(R59),'BD Pointtabel'!$A$4:$G$15,4,TRUE),VLOOKUP(ABS(R59),'BD Pointtabel'!$A$4:$G$15,7,TRUE)),IF(R59&gt;=0,VLOOKUP(ABS(R59),'BD Pointtabel'!$A$4:$G$15,6,TRUE),VLOOKUP(ABS(R59),'BD Pointtabel'!$A$4:$G$15,3,TRUE))))))</x:f>
      </x:c>
      <x:c r="V59" s="62" t="str">
        <x:f>IF(G59="","",SUMIFS($U$10:U59,$AG$10:AG59,AG59,$G$10:G59,G59))</x:f>
      </x:c>
      <x:c r="W59" s="62" t="str">
        <x:f>IF(C59="","",IF(AN59&lt;&gt;1,"",IF(G59="Single",AA59,IF(G59="Double",AC59,AE59))))</x:f>
      </x:c>
      <x:c r="X59" s="62" t="str">
        <x:f>IF(C59="","",IF(AN59&lt;&gt;1,"",ROUND(((AA59*AB59+AC59*AD59+AE59*AF59)/(AB59+AD59+AF59))+IF((MAX(AA59,AC59,AE59)-(AA59+AC59+AE59-MAX(AA59,AC59,AE59)-MIN(AA59,AC59,AE59)))&lt;'Model &amp; indstillinger'!$E$16,'Model &amp; indstillinger'!$E$18,'Model &amp; indstillinger'!$E$20)*(MAX(AA59,AC59,AE59)-((AA59*AB59+AC59*AD59+AE59*AF59)/(AB59+AD59+AF59))),0)))</x:f>
      </x:c>
      <x:c r="Y59" s="62" t="str">
        <x:f>IF(X59="","",'Model &amp; indstillinger'!$B$4-X59)</x:f>
      </x:c>
      <x:c r="Z59" s="62" t="str">
        <x:f>IF(C59="","",IF(H59="Planlagt","Planlagt – ingen point endnu",IF(H59="Ikke spillet","Ikke spillet – tæller ikke som kamp og giver ingen point",IF(AN59=1,"STÆVNE SLUT – samlet point tilskrives","Frosset pointgrundlag – ingen tilskrivning endnu"))))</x:f>
      </x:c>
      <x:c r="AA59" s="60" t="str">
        <x:f>IF(C59="","",'Model &amp; indstillinger'!$B$6+SUMIFS($U$10:U59,$G$10:G59,"Single"))</x:f>
      </x:c>
      <x:c r="AB59" s="60" t="str">
        <x:f>IF(C59="","",'Model &amp; indstillinger'!$B$7+COUNTIFS($G$10:G59,"Single",$AK$10:AK59,1))</x:f>
      </x:c>
      <x:c r="AC59" s="60" t="str">
        <x:f>IF(C59="","",'Model &amp; indstillinger'!$B$8+SUMIFS($U$10:U59,$G$10:G59,"Double"))</x:f>
      </x:c>
      <x:c r="AD59" s="60" t="str">
        <x:f>IF(C59="","",'Model &amp; indstillinger'!$B$9+COUNTIFS($G$10:G59,"Double",$AK$10:AK59,1))</x:f>
      </x:c>
      <x:c r="AE59" s="60" t="str">
        <x:f>IF(C59="","",'Model &amp; indstillinger'!$B$10+SUMIFS($U$10:U59,$G$10:G59,"Mix"))</x:f>
      </x:c>
      <x:c r="AF59" s="60" t="str">
        <x:f>IF(C59="","",'Model &amp; indstillinger'!$B$11+COUNTIFS($G$10:G59,"Mix",$AK$10:AK59,1))</x:f>
      </x:c>
      <x:c r="AG59" s="60" t="str">
        <x:f>IF(C59="","",IF(C59=C58,AG58,AG58+1))</x:f>
      </x:c>
      <x:c r="AH59" s="60" t="str">
        <x:f>IF(C59="","",IF(AG59=AG58,AH58,AA58))</x:f>
      </x:c>
      <x:c r="AI59" s="60" t="str">
        <x:f>IF(C59="","",IF(AG59=AG58,AI58,AC58))</x:f>
      </x:c>
      <x:c r="AJ59" s="60" t="str">
        <x:f>IF(C59="","",IF(AG59=AG58,AJ58,AE58))</x:f>
      </x:c>
      <x:c r="AK59" s="60" t="n">
        <x:f>IF(OR(H59="Vundet",H59="Tabt"),1,0)</x:f>
        <x:v>0</x:v>
      </x:c>
      <x:c r="AL59" s="60" t="n"/>
      <x:c r="AM59" s="60" t="n">
        <x:f>MAX($AG$10:$AG$209)</x:f>
        <x:v>4</x:v>
      </x:c>
      <x:c r="AN59" s="60" t="str">
        <x:f>IF(C59="","",IF(AND(C60&lt;&gt;"",C60&lt;&gt;C59),1,0))</x:f>
      </x:c>
      <x:c r="AO59" s="60" t="n"/>
      <x:c r="AP59" s="60" t="n">
        <x:f>MAX($AG$10:$AG$209)</x:f>
        <x:v>4</x:v>
      </x:c>
      <x:c r="AQ59" t="str">
        <x:f>AG59</x:f>
      </x:c>
      <x:c r="AR59" t="n">
        <x:f>C59</x:f>
        <x:v>0</x:v>
      </x:c>
      <x:c r="AS59" t="n">
        <x:f>E59</x:f>
        <x:v>0</x:v>
      </x:c>
    </x:row>
    <x:row r="60">
      <x:c r="A60" s="60" t="str">
        <x:f>IF(C60="","",COUNTIF($C$10:C60,"&lt;&gt;"))</x:f>
      </x:c>
      <x:c r="B60" s="122" t="n"/>
      <x:c r="C60" s="87" t="n"/>
      <x:c r="D60" s="87" t="n"/>
      <x:c r="E60" s="87" t="n"/>
      <x:c r="F60" s="87" t="n"/>
      <x:c r="G60" s="87" t="n"/>
      <x:c r="H60" s="87" t="n"/>
      <x:c r="I60" s="87" t="n"/>
      <x:c r="J60" s="87" t="n"/>
      <x:c r="K60" s="87" t="n"/>
      <x:c r="L60" s="87" t="n"/>
      <x:c r="M60" s="87" t="n"/>
      <x:c r="N60" s="87" t="n"/>
      <x:c r="O60" s="62" t="str">
        <x:f>IF(G60="","",IF(G60="Single",AH60,IF(G60="Double",AI60,AJ60)))</x:f>
      </x:c>
      <x:c r="P60" s="62" t="str">
        <x:f>IF(OR(G60="",H60="Ikke spillet"),"",IF(G60="Single",O60,IF(J60="","",(O60+J60)/2)))</x:f>
      </x:c>
      <x:c r="Q60" s="62" t="str">
        <x:f>IF(OR(G60="",H60="Ikke spillet"),"",IF(G60="Single",L60,IF(OR(L60="",N60=""),"",(L60+N60)/2)))</x:f>
      </x:c>
      <x:c r="R60" s="62" t="str">
        <x:f>IF(OR(P60="",Q60=""),"",Q60-P60)</x:f>
      </x:c>
      <x:c r="S60" s="62" t="str">
        <x:f>IF(H60="Ikke spillet","",IF(R60="","",IF(ABS(R60)&lt;0.000001,"Lige (0)",VLOOKUP(ABS(R60),'BD Pointtabel'!$A$4:$G$15,2,TRUE))))</x:f>
      </x:c>
      <x:c r="T60" s="62" t="str">
        <x:f>IF(H60="Ikke spillet","Ikke spillet",IF(H60="Planlagt","Planlagt",IF(OR(H60="",P60="",Q60=""),"",IF(H60="Vundet",IF(R60&gt;0,"Uventet sejr","Ventet sejr"),IF(R60&gt;=0,"Ventet nederlag","Uventet nederlag")))))</x:f>
      </x:c>
      <x:c r="U60" s="62" t="str">
        <x:f>IF(OR(H60="Ikke spillet",H60="Planlagt"),"",IF(OR(G60="",H60="",P60="",Q60=""),"",IF(AND(F60="Ungdomsholdturnering",OR(G60="Double",G60="Mix"),H60="Tabt"),0,IF(H60="Vundet",IF(R60&gt;0,VLOOKUP(ABS(R60),'BD Pointtabel'!$A$4:$G$15,4,TRUE),VLOOKUP(ABS(R60),'BD Pointtabel'!$A$4:$G$15,7,TRUE)),IF(R60&gt;=0,VLOOKUP(ABS(R60),'BD Pointtabel'!$A$4:$G$15,6,TRUE),VLOOKUP(ABS(R60),'BD Pointtabel'!$A$4:$G$15,3,TRUE))))))</x:f>
      </x:c>
      <x:c r="V60" s="62" t="str">
        <x:f>IF(G60="","",SUMIFS($U$10:U60,$AG$10:AG60,AG60,$G$10:G60,G60))</x:f>
      </x:c>
      <x:c r="W60" s="62" t="str">
        <x:f>IF(C60="","",IF(AN60&lt;&gt;1,"",IF(G60="Single",AA60,IF(G60="Double",AC60,AE60))))</x:f>
      </x:c>
      <x:c r="X60" s="62" t="str">
        <x:f>IF(C60="","",IF(AN60&lt;&gt;1,"",ROUND(((AA60*AB60+AC60*AD60+AE60*AF60)/(AB60+AD60+AF60))+IF((MAX(AA60,AC60,AE60)-(AA60+AC60+AE60-MAX(AA60,AC60,AE60)-MIN(AA60,AC60,AE60)))&lt;'Model &amp; indstillinger'!$E$16,'Model &amp; indstillinger'!$E$18,'Model &amp; indstillinger'!$E$20)*(MAX(AA60,AC60,AE60)-((AA60*AB60+AC60*AD60+AE60*AF60)/(AB60+AD60+AF60))),0)))</x:f>
      </x:c>
      <x:c r="Y60" s="62" t="str">
        <x:f>IF(X60="","",'Model &amp; indstillinger'!$B$4-X60)</x:f>
      </x:c>
      <x:c r="Z60" s="62" t="str">
        <x:f>IF(C60="","",IF(H60="Planlagt","Planlagt – ingen point endnu",IF(H60="Ikke spillet","Ikke spillet – tæller ikke som kamp og giver ingen point",IF(AN60=1,"STÆVNE SLUT – samlet point tilskrives","Frosset pointgrundlag – ingen tilskrivning endnu"))))</x:f>
      </x:c>
      <x:c r="AA60" s="60" t="str">
        <x:f>IF(C60="","",'Model &amp; indstillinger'!$B$6+SUMIFS($U$10:U60,$G$10:G60,"Single"))</x:f>
      </x:c>
      <x:c r="AB60" s="60" t="str">
        <x:f>IF(C60="","",'Model &amp; indstillinger'!$B$7+COUNTIFS($G$10:G60,"Single",$AK$10:AK60,1))</x:f>
      </x:c>
      <x:c r="AC60" s="60" t="str">
        <x:f>IF(C60="","",'Model &amp; indstillinger'!$B$8+SUMIFS($U$10:U60,$G$10:G60,"Double"))</x:f>
      </x:c>
      <x:c r="AD60" s="60" t="str">
        <x:f>IF(C60="","",'Model &amp; indstillinger'!$B$9+COUNTIFS($G$10:G60,"Double",$AK$10:AK60,1))</x:f>
      </x:c>
      <x:c r="AE60" s="60" t="str">
        <x:f>IF(C60="","",'Model &amp; indstillinger'!$B$10+SUMIFS($U$10:U60,$G$10:G60,"Mix"))</x:f>
      </x:c>
      <x:c r="AF60" s="60" t="str">
        <x:f>IF(C60="","",'Model &amp; indstillinger'!$B$11+COUNTIFS($G$10:G60,"Mix",$AK$10:AK60,1))</x:f>
      </x:c>
      <x:c r="AG60" s="60" t="str">
        <x:f>IF(C60="","",IF(C60=C59,AG59,AG59+1))</x:f>
      </x:c>
      <x:c r="AH60" s="60" t="str">
        <x:f>IF(C60="","",IF(AG60=AG59,AH59,AA59))</x:f>
      </x:c>
      <x:c r="AI60" s="60" t="str">
        <x:f>IF(C60="","",IF(AG60=AG59,AI59,AC59))</x:f>
      </x:c>
      <x:c r="AJ60" s="60" t="str">
        <x:f>IF(C60="","",IF(AG60=AG59,AJ59,AE59))</x:f>
      </x:c>
      <x:c r="AK60" s="60" t="n">
        <x:f>IF(OR(H60="Vundet",H60="Tabt"),1,0)</x:f>
        <x:v>0</x:v>
      </x:c>
      <x:c r="AL60" s="60" t="n"/>
      <x:c r="AM60" s="60" t="n">
        <x:f>MAX($AG$10:$AG$209)</x:f>
        <x:v>4</x:v>
      </x:c>
      <x:c r="AN60" s="60" t="str">
        <x:f>IF(C60="","",IF(AND(C61&lt;&gt;"",C61&lt;&gt;C60),1,0))</x:f>
      </x:c>
      <x:c r="AO60" s="60" t="n"/>
      <x:c r="AP60" s="60" t="n">
        <x:f>MAX($AG$10:$AG$209)</x:f>
        <x:v>4</x:v>
      </x:c>
      <x:c r="AQ60" t="str">
        <x:f>AG60</x:f>
      </x:c>
      <x:c r="AR60" t="n">
        <x:f>C60</x:f>
        <x:v>0</x:v>
      </x:c>
      <x:c r="AS60" t="n">
        <x:f>E60</x:f>
        <x:v>0</x:v>
      </x:c>
    </x:row>
    <x:row r="61">
      <x:c r="A61" s="60" t="str">
        <x:f>IF(C61="","",COUNTIF($C$10:C61,"&lt;&gt;"))</x:f>
      </x:c>
      <x:c r="B61" s="122" t="n"/>
      <x:c r="C61" s="87" t="n"/>
      <x:c r="D61" s="87" t="n"/>
      <x:c r="E61" s="87" t="n"/>
      <x:c r="F61" s="87" t="n"/>
      <x:c r="G61" s="87" t="n"/>
      <x:c r="H61" s="87" t="n"/>
      <x:c r="I61" s="87" t="n"/>
      <x:c r="J61" s="87" t="n"/>
      <x:c r="K61" s="87" t="n"/>
      <x:c r="L61" s="87" t="n"/>
      <x:c r="M61" s="87" t="n"/>
      <x:c r="N61" s="87" t="n"/>
      <x:c r="O61" s="62" t="str">
        <x:f>IF(G61="","",IF(G61="Single",AH61,IF(G61="Double",AI61,AJ61)))</x:f>
      </x:c>
      <x:c r="P61" s="62" t="str">
        <x:f>IF(OR(G61="",H61="Ikke spillet"),"",IF(G61="Single",O61,IF(J61="","",(O61+J61)/2)))</x:f>
      </x:c>
      <x:c r="Q61" s="62" t="str">
        <x:f>IF(OR(G61="",H61="Ikke spillet"),"",IF(G61="Single",L61,IF(OR(L61="",N61=""),"",(L61+N61)/2)))</x:f>
      </x:c>
      <x:c r="R61" s="62" t="str">
        <x:f>IF(OR(P61="",Q61=""),"",Q61-P61)</x:f>
      </x:c>
      <x:c r="S61" s="62" t="str">
        <x:f>IF(H61="Ikke spillet","",IF(R61="","",IF(ABS(R61)&lt;0.000001,"Lige (0)",VLOOKUP(ABS(R61),'BD Pointtabel'!$A$4:$G$15,2,TRUE))))</x:f>
      </x:c>
      <x:c r="T61" s="62" t="str">
        <x:f>IF(H61="Ikke spillet","Ikke spillet",IF(H61="Planlagt","Planlagt",IF(OR(H61="",P61="",Q61=""),"",IF(H61="Vundet",IF(R61&gt;0,"Uventet sejr","Ventet sejr"),IF(R61&gt;=0,"Ventet nederlag","Uventet nederlag")))))</x:f>
      </x:c>
      <x:c r="U61" s="62" t="str">
        <x:f>IF(OR(H61="Ikke spillet",H61="Planlagt"),"",IF(OR(G61="",H61="",P61="",Q61=""),"",IF(AND(F61="Ungdomsholdturnering",OR(G61="Double",G61="Mix"),H61="Tabt"),0,IF(H61="Vundet",IF(R61&gt;0,VLOOKUP(ABS(R61),'BD Pointtabel'!$A$4:$G$15,4,TRUE),VLOOKUP(ABS(R61),'BD Pointtabel'!$A$4:$G$15,7,TRUE)),IF(R61&gt;=0,VLOOKUP(ABS(R61),'BD Pointtabel'!$A$4:$G$15,6,TRUE),VLOOKUP(ABS(R61),'BD Pointtabel'!$A$4:$G$15,3,TRUE))))))</x:f>
      </x:c>
      <x:c r="V61" s="62" t="str">
        <x:f>IF(G61="","",SUMIFS($U$10:U61,$AG$10:AG61,AG61,$G$10:G61,G61))</x:f>
      </x:c>
      <x:c r="W61" s="62" t="str">
        <x:f>IF(C61="","",IF(AN61&lt;&gt;1,"",IF(G61="Single",AA61,IF(G61="Double",AC61,AE61))))</x:f>
      </x:c>
      <x:c r="X61" s="62" t="str">
        <x:f>IF(C61="","",IF(AN61&lt;&gt;1,"",ROUND(((AA61*AB61+AC61*AD61+AE61*AF61)/(AB61+AD61+AF61))+IF((MAX(AA61,AC61,AE61)-(AA61+AC61+AE61-MAX(AA61,AC61,AE61)-MIN(AA61,AC61,AE61)))&lt;'Model &amp; indstillinger'!$E$16,'Model &amp; indstillinger'!$E$18,'Model &amp; indstillinger'!$E$20)*(MAX(AA61,AC61,AE61)-((AA61*AB61+AC61*AD61+AE61*AF61)/(AB61+AD61+AF61))),0)))</x:f>
      </x:c>
      <x:c r="Y61" s="62" t="str">
        <x:f>IF(X61="","",'Model &amp; indstillinger'!$B$4-X61)</x:f>
      </x:c>
      <x:c r="Z61" s="62" t="str">
        <x:f>IF(C61="","",IF(H61="Planlagt","Planlagt – ingen point endnu",IF(H61="Ikke spillet","Ikke spillet – tæller ikke som kamp og giver ingen point",IF(AN61=1,"STÆVNE SLUT – samlet point tilskrives","Frosset pointgrundlag – ingen tilskrivning endnu"))))</x:f>
      </x:c>
      <x:c r="AA61" s="60" t="str">
        <x:f>IF(C61="","",'Model &amp; indstillinger'!$B$6+SUMIFS($U$10:U61,$G$10:G61,"Single"))</x:f>
      </x:c>
      <x:c r="AB61" s="60" t="str">
        <x:f>IF(C61="","",'Model &amp; indstillinger'!$B$7+COUNTIFS($G$10:G61,"Single",$AK$10:AK61,1))</x:f>
      </x:c>
      <x:c r="AC61" s="60" t="str">
        <x:f>IF(C61="","",'Model &amp; indstillinger'!$B$8+SUMIFS($U$10:U61,$G$10:G61,"Double"))</x:f>
      </x:c>
      <x:c r="AD61" s="60" t="str">
        <x:f>IF(C61="","",'Model &amp; indstillinger'!$B$9+COUNTIFS($G$10:G61,"Double",$AK$10:AK61,1))</x:f>
      </x:c>
      <x:c r="AE61" s="60" t="str">
        <x:f>IF(C61="","",'Model &amp; indstillinger'!$B$10+SUMIFS($U$10:U61,$G$10:G61,"Mix"))</x:f>
      </x:c>
      <x:c r="AF61" s="60" t="str">
        <x:f>IF(C61="","",'Model &amp; indstillinger'!$B$11+COUNTIFS($G$10:G61,"Mix",$AK$10:AK61,1))</x:f>
      </x:c>
      <x:c r="AG61" s="60" t="str">
        <x:f>IF(C61="","",IF(C61=C60,AG60,AG60+1))</x:f>
      </x:c>
      <x:c r="AH61" s="60" t="str">
        <x:f>IF(C61="","",IF(AG61=AG60,AH60,AA60))</x:f>
      </x:c>
      <x:c r="AI61" s="60" t="str">
        <x:f>IF(C61="","",IF(AG61=AG60,AI60,AC60))</x:f>
      </x:c>
      <x:c r="AJ61" s="60" t="str">
        <x:f>IF(C61="","",IF(AG61=AG60,AJ60,AE60))</x:f>
      </x:c>
      <x:c r="AK61" s="60" t="n">
        <x:f>IF(OR(H61="Vundet",H61="Tabt"),1,0)</x:f>
        <x:v>0</x:v>
      </x:c>
      <x:c r="AL61" s="60" t="n"/>
      <x:c r="AM61" s="60" t="n">
        <x:f>MAX($AG$10:$AG$209)</x:f>
        <x:v>4</x:v>
      </x:c>
      <x:c r="AN61" s="60" t="str">
        <x:f>IF(C61="","",IF(AND(C62&lt;&gt;"",C62&lt;&gt;C61),1,0))</x:f>
      </x:c>
      <x:c r="AO61" s="60" t="n"/>
      <x:c r="AP61" s="60" t="n">
        <x:f>MAX($AG$10:$AG$209)</x:f>
        <x:v>4</x:v>
      </x:c>
      <x:c r="AQ61" t="str">
        <x:f>AG61</x:f>
      </x:c>
      <x:c r="AR61" t="n">
        <x:f>C61</x:f>
        <x:v>0</x:v>
      </x:c>
      <x:c r="AS61" t="n">
        <x:f>E61</x:f>
        <x:v>0</x:v>
      </x:c>
    </x:row>
    <x:row r="62">
      <x:c r="A62" s="60" t="str">
        <x:f>IF(C62="","",COUNTIF($C$10:C62,"&lt;&gt;"))</x:f>
      </x:c>
      <x:c r="B62" s="122" t="n"/>
      <x:c r="C62" s="87" t="n"/>
      <x:c r="D62" s="87" t="n"/>
      <x:c r="E62" s="87" t="n"/>
      <x:c r="F62" s="87" t="n"/>
      <x:c r="G62" s="87" t="n"/>
      <x:c r="H62" s="87" t="n"/>
      <x:c r="I62" s="87" t="n"/>
      <x:c r="J62" s="87" t="n"/>
      <x:c r="K62" s="87" t="n"/>
      <x:c r="L62" s="87" t="n"/>
      <x:c r="M62" s="87" t="n"/>
      <x:c r="N62" s="87" t="n"/>
      <x:c r="O62" s="62" t="str">
        <x:f>IF(G62="","",IF(G62="Single",AH62,IF(G62="Double",AI62,AJ62)))</x:f>
      </x:c>
      <x:c r="P62" s="62" t="str">
        <x:f>IF(OR(G62="",H62="Ikke spillet"),"",IF(G62="Single",O62,IF(J62="","",(O62+J62)/2)))</x:f>
      </x:c>
      <x:c r="Q62" s="62" t="str">
        <x:f>IF(OR(G62="",H62="Ikke spillet"),"",IF(G62="Single",L62,IF(OR(L62="",N62=""),"",(L62+N62)/2)))</x:f>
      </x:c>
      <x:c r="R62" s="62" t="str">
        <x:f>IF(OR(P62="",Q62=""),"",Q62-P62)</x:f>
      </x:c>
      <x:c r="S62" s="62" t="str">
        <x:f>IF(H62="Ikke spillet","",IF(R62="","",IF(ABS(R62)&lt;0.000001,"Lige (0)",VLOOKUP(ABS(R62),'BD Pointtabel'!$A$4:$G$15,2,TRUE))))</x:f>
      </x:c>
      <x:c r="T62" s="62" t="str">
        <x:f>IF(H62="Ikke spillet","Ikke spillet",IF(H62="Planlagt","Planlagt",IF(OR(H62="",P62="",Q62=""),"",IF(H62="Vundet",IF(R62&gt;0,"Uventet sejr","Ventet sejr"),IF(R62&gt;=0,"Ventet nederlag","Uventet nederlag")))))</x:f>
      </x:c>
      <x:c r="U62" s="62" t="str">
        <x:f>IF(OR(H62="Ikke spillet",H62="Planlagt"),"",IF(OR(G62="",H62="",P62="",Q62=""),"",IF(AND(F62="Ungdomsholdturnering",OR(G62="Double",G62="Mix"),H62="Tabt"),0,IF(H62="Vundet",IF(R62&gt;0,VLOOKUP(ABS(R62),'BD Pointtabel'!$A$4:$G$15,4,TRUE),VLOOKUP(ABS(R62),'BD Pointtabel'!$A$4:$G$15,7,TRUE)),IF(R62&gt;=0,VLOOKUP(ABS(R62),'BD Pointtabel'!$A$4:$G$15,6,TRUE),VLOOKUP(ABS(R62),'BD Pointtabel'!$A$4:$G$15,3,TRUE))))))</x:f>
      </x:c>
      <x:c r="V62" s="62" t="str">
        <x:f>IF(G62="","",SUMIFS($U$10:U62,$AG$10:AG62,AG62,$G$10:G62,G62))</x:f>
      </x:c>
      <x:c r="W62" s="62" t="str">
        <x:f>IF(C62="","",IF(AN62&lt;&gt;1,"",IF(G62="Single",AA62,IF(G62="Double",AC62,AE62))))</x:f>
      </x:c>
      <x:c r="X62" s="62" t="str">
        <x:f>IF(C62="","",IF(AN62&lt;&gt;1,"",ROUND(((AA62*AB62+AC62*AD62+AE62*AF62)/(AB62+AD62+AF62))+IF((MAX(AA62,AC62,AE62)-(AA62+AC62+AE62-MAX(AA62,AC62,AE62)-MIN(AA62,AC62,AE62)))&lt;'Model &amp; indstillinger'!$E$16,'Model &amp; indstillinger'!$E$18,'Model &amp; indstillinger'!$E$20)*(MAX(AA62,AC62,AE62)-((AA62*AB62+AC62*AD62+AE62*AF62)/(AB62+AD62+AF62))),0)))</x:f>
      </x:c>
      <x:c r="Y62" s="62" t="str">
        <x:f>IF(X62="","",'Model &amp; indstillinger'!$B$4-X62)</x:f>
      </x:c>
      <x:c r="Z62" s="62" t="str">
        <x:f>IF(C62="","",IF(H62="Planlagt","Planlagt – ingen point endnu",IF(H62="Ikke spillet","Ikke spillet – tæller ikke som kamp og giver ingen point",IF(AN62=1,"STÆVNE SLUT – samlet point tilskrives","Frosset pointgrundlag – ingen tilskrivning endnu"))))</x:f>
      </x:c>
      <x:c r="AA62" s="60" t="str">
        <x:f>IF(C62="","",'Model &amp; indstillinger'!$B$6+SUMIFS($U$10:U62,$G$10:G62,"Single"))</x:f>
      </x:c>
      <x:c r="AB62" s="60" t="str">
        <x:f>IF(C62="","",'Model &amp; indstillinger'!$B$7+COUNTIFS($G$10:G62,"Single",$AK$10:AK62,1))</x:f>
      </x:c>
      <x:c r="AC62" s="60" t="str">
        <x:f>IF(C62="","",'Model &amp; indstillinger'!$B$8+SUMIFS($U$10:U62,$G$10:G62,"Double"))</x:f>
      </x:c>
      <x:c r="AD62" s="60" t="str">
        <x:f>IF(C62="","",'Model &amp; indstillinger'!$B$9+COUNTIFS($G$10:G62,"Double",$AK$10:AK62,1))</x:f>
      </x:c>
      <x:c r="AE62" s="60" t="str">
        <x:f>IF(C62="","",'Model &amp; indstillinger'!$B$10+SUMIFS($U$10:U62,$G$10:G62,"Mix"))</x:f>
      </x:c>
      <x:c r="AF62" s="60" t="str">
        <x:f>IF(C62="","",'Model &amp; indstillinger'!$B$11+COUNTIFS($G$10:G62,"Mix",$AK$10:AK62,1))</x:f>
      </x:c>
      <x:c r="AG62" s="60" t="str">
        <x:f>IF(C62="","",IF(C62=C61,AG61,AG61+1))</x:f>
      </x:c>
      <x:c r="AH62" s="60" t="str">
        <x:f>IF(C62="","",IF(AG62=AG61,AH61,AA61))</x:f>
      </x:c>
      <x:c r="AI62" s="60" t="str">
        <x:f>IF(C62="","",IF(AG62=AG61,AI61,AC61))</x:f>
      </x:c>
      <x:c r="AJ62" s="60" t="str">
        <x:f>IF(C62="","",IF(AG62=AG61,AJ61,AE61))</x:f>
      </x:c>
      <x:c r="AK62" s="60" t="n">
        <x:f>IF(OR(H62="Vundet",H62="Tabt"),1,0)</x:f>
        <x:v>0</x:v>
      </x:c>
      <x:c r="AL62" s="60" t="n"/>
      <x:c r="AM62" s="60" t="n">
        <x:f>MAX($AG$10:$AG$209)</x:f>
        <x:v>4</x:v>
      </x:c>
      <x:c r="AN62" s="60" t="str">
        <x:f>IF(C62="","",IF(AND(C63&lt;&gt;"",C63&lt;&gt;C62),1,0))</x:f>
      </x:c>
      <x:c r="AO62" s="60" t="n"/>
      <x:c r="AP62" s="60" t="n">
        <x:f>MAX($AG$10:$AG$209)</x:f>
        <x:v>4</x:v>
      </x:c>
      <x:c r="AQ62" t="str">
        <x:f>AG62</x:f>
      </x:c>
      <x:c r="AR62" t="n">
        <x:f>C62</x:f>
        <x:v>0</x:v>
      </x:c>
      <x:c r="AS62" t="n">
        <x:f>E62</x:f>
        <x:v>0</x:v>
      </x:c>
    </x:row>
    <x:row r="63">
      <x:c r="A63" s="60" t="str">
        <x:f>IF(C63="","",COUNTIF($C$10:C63,"&lt;&gt;"))</x:f>
      </x:c>
      <x:c r="B63" s="122" t="n"/>
      <x:c r="C63" s="87" t="n"/>
      <x:c r="D63" s="87" t="n"/>
      <x:c r="E63" s="87" t="n"/>
      <x:c r="F63" s="87" t="n"/>
      <x:c r="G63" s="87" t="n"/>
      <x:c r="H63" s="87" t="n"/>
      <x:c r="I63" s="87" t="n"/>
      <x:c r="J63" s="87" t="n"/>
      <x:c r="K63" s="87" t="n"/>
      <x:c r="L63" s="87" t="n"/>
      <x:c r="M63" s="87" t="n"/>
      <x:c r="N63" s="87" t="n"/>
      <x:c r="O63" s="62" t="str">
        <x:f>IF(G63="","",IF(G63="Single",AH63,IF(G63="Double",AI63,AJ63)))</x:f>
      </x:c>
      <x:c r="P63" s="62" t="str">
        <x:f>IF(OR(G63="",H63="Ikke spillet"),"",IF(G63="Single",O63,IF(J63="","",(O63+J63)/2)))</x:f>
      </x:c>
      <x:c r="Q63" s="62" t="str">
        <x:f>IF(OR(G63="",H63="Ikke spillet"),"",IF(G63="Single",L63,IF(OR(L63="",N63=""),"",(L63+N63)/2)))</x:f>
      </x:c>
      <x:c r="R63" s="62" t="str">
        <x:f>IF(OR(P63="",Q63=""),"",Q63-P63)</x:f>
      </x:c>
      <x:c r="S63" s="62" t="str">
        <x:f>IF(H63="Ikke spillet","",IF(R63="","",IF(ABS(R63)&lt;0.000001,"Lige (0)",VLOOKUP(ABS(R63),'BD Pointtabel'!$A$4:$G$15,2,TRUE))))</x:f>
      </x:c>
      <x:c r="T63" s="62" t="str">
        <x:f>IF(H63="Ikke spillet","Ikke spillet",IF(H63="Planlagt","Planlagt",IF(OR(H63="",P63="",Q63=""),"",IF(H63="Vundet",IF(R63&gt;0,"Uventet sejr","Ventet sejr"),IF(R63&gt;=0,"Ventet nederlag","Uventet nederlag")))))</x:f>
      </x:c>
      <x:c r="U63" s="62" t="str">
        <x:f>IF(OR(H63="Ikke spillet",H63="Planlagt"),"",IF(OR(G63="",H63="",P63="",Q63=""),"",IF(AND(F63="Ungdomsholdturnering",OR(G63="Double",G63="Mix"),H63="Tabt"),0,IF(H63="Vundet",IF(R63&gt;0,VLOOKUP(ABS(R63),'BD Pointtabel'!$A$4:$G$15,4,TRUE),VLOOKUP(ABS(R63),'BD Pointtabel'!$A$4:$G$15,7,TRUE)),IF(R63&gt;=0,VLOOKUP(ABS(R63),'BD Pointtabel'!$A$4:$G$15,6,TRUE),VLOOKUP(ABS(R63),'BD Pointtabel'!$A$4:$G$15,3,TRUE))))))</x:f>
      </x:c>
      <x:c r="V63" s="62" t="str">
        <x:f>IF(G63="","",SUMIFS($U$10:U63,$AG$10:AG63,AG63,$G$10:G63,G63))</x:f>
      </x:c>
      <x:c r="W63" s="62" t="str">
        <x:f>IF(C63="","",IF(AN63&lt;&gt;1,"",IF(G63="Single",AA63,IF(G63="Double",AC63,AE63))))</x:f>
      </x:c>
      <x:c r="X63" s="62" t="str">
        <x:f>IF(C63="","",IF(AN63&lt;&gt;1,"",ROUND(((AA63*AB63+AC63*AD63+AE63*AF63)/(AB63+AD63+AF63))+IF((MAX(AA63,AC63,AE63)-(AA63+AC63+AE63-MAX(AA63,AC63,AE63)-MIN(AA63,AC63,AE63)))&lt;'Model &amp; indstillinger'!$E$16,'Model &amp; indstillinger'!$E$18,'Model &amp; indstillinger'!$E$20)*(MAX(AA63,AC63,AE63)-((AA63*AB63+AC63*AD63+AE63*AF63)/(AB63+AD63+AF63))),0)))</x:f>
      </x:c>
      <x:c r="Y63" s="62" t="str">
        <x:f>IF(X63="","",'Model &amp; indstillinger'!$B$4-X63)</x:f>
      </x:c>
      <x:c r="Z63" s="62" t="str">
        <x:f>IF(C63="","",IF(H63="Planlagt","Planlagt – ingen point endnu",IF(H63="Ikke spillet","Ikke spillet – tæller ikke som kamp og giver ingen point",IF(AN63=1,"STÆVNE SLUT – samlet point tilskrives","Frosset pointgrundlag – ingen tilskrivning endnu"))))</x:f>
      </x:c>
      <x:c r="AA63" s="60" t="str">
        <x:f>IF(C63="","",'Model &amp; indstillinger'!$B$6+SUMIFS($U$10:U63,$G$10:G63,"Single"))</x:f>
      </x:c>
      <x:c r="AB63" s="60" t="str">
        <x:f>IF(C63="","",'Model &amp; indstillinger'!$B$7+COUNTIFS($G$10:G63,"Single",$AK$10:AK63,1))</x:f>
      </x:c>
      <x:c r="AC63" s="60" t="str">
        <x:f>IF(C63="","",'Model &amp; indstillinger'!$B$8+SUMIFS($U$10:U63,$G$10:G63,"Double"))</x:f>
      </x:c>
      <x:c r="AD63" s="60" t="str">
        <x:f>IF(C63="","",'Model &amp; indstillinger'!$B$9+COUNTIFS($G$10:G63,"Double",$AK$10:AK63,1))</x:f>
      </x:c>
      <x:c r="AE63" s="60" t="str">
        <x:f>IF(C63="","",'Model &amp; indstillinger'!$B$10+SUMIFS($U$10:U63,$G$10:G63,"Mix"))</x:f>
      </x:c>
      <x:c r="AF63" s="60" t="str">
        <x:f>IF(C63="","",'Model &amp; indstillinger'!$B$11+COUNTIFS($G$10:G63,"Mix",$AK$10:AK63,1))</x:f>
      </x:c>
      <x:c r="AG63" s="60" t="str">
        <x:f>IF(C63="","",IF(C63=C62,AG62,AG62+1))</x:f>
      </x:c>
      <x:c r="AH63" s="60" t="str">
        <x:f>IF(C63="","",IF(AG63=AG62,AH62,AA62))</x:f>
      </x:c>
      <x:c r="AI63" s="60" t="str">
        <x:f>IF(C63="","",IF(AG63=AG62,AI62,AC62))</x:f>
      </x:c>
      <x:c r="AJ63" s="60" t="str">
        <x:f>IF(C63="","",IF(AG63=AG62,AJ62,AE62))</x:f>
      </x:c>
      <x:c r="AK63" s="60" t="n">
        <x:f>IF(OR(H63="Vundet",H63="Tabt"),1,0)</x:f>
        <x:v>0</x:v>
      </x:c>
      <x:c r="AL63" s="60" t="n"/>
      <x:c r="AM63" s="60" t="n">
        <x:f>MAX($AG$10:$AG$209)</x:f>
        <x:v>4</x:v>
      </x:c>
      <x:c r="AN63" s="60" t="str">
        <x:f>IF(C63="","",IF(AND(C64&lt;&gt;"",C64&lt;&gt;C63),1,0))</x:f>
      </x:c>
      <x:c r="AO63" s="60" t="n"/>
      <x:c r="AP63" s="60" t="n">
        <x:f>MAX($AG$10:$AG$209)</x:f>
        <x:v>4</x:v>
      </x:c>
      <x:c r="AQ63" t="str">
        <x:f>AG63</x:f>
      </x:c>
      <x:c r="AR63" t="n">
        <x:f>C63</x:f>
        <x:v>0</x:v>
      </x:c>
      <x:c r="AS63" t="n">
        <x:f>E63</x:f>
        <x:v>0</x:v>
      </x:c>
    </x:row>
    <x:row r="64">
      <x:c r="A64" s="60" t="str">
        <x:f>IF(C64="","",COUNTIF($C$10:C64,"&lt;&gt;"))</x:f>
      </x:c>
      <x:c r="B64" s="122" t="n"/>
      <x:c r="C64" s="87" t="n"/>
      <x:c r="D64" s="87" t="n"/>
      <x:c r="E64" s="87" t="n"/>
      <x:c r="F64" s="87" t="n"/>
      <x:c r="G64" s="87" t="n"/>
      <x:c r="H64" s="87" t="n"/>
      <x:c r="I64" s="87" t="n"/>
      <x:c r="J64" s="87" t="n"/>
      <x:c r="K64" s="87" t="n"/>
      <x:c r="L64" s="87" t="n"/>
      <x:c r="M64" s="87" t="n"/>
      <x:c r="N64" s="87" t="n"/>
      <x:c r="O64" s="62" t="str">
        <x:f>IF(G64="","",IF(G64="Single",AH64,IF(G64="Double",AI64,AJ64)))</x:f>
      </x:c>
      <x:c r="P64" s="62" t="str">
        <x:f>IF(OR(G64="",H64="Ikke spillet"),"",IF(G64="Single",O64,IF(J64="","",(O64+J64)/2)))</x:f>
      </x:c>
      <x:c r="Q64" s="62" t="str">
        <x:f>IF(OR(G64="",H64="Ikke spillet"),"",IF(G64="Single",L64,IF(OR(L64="",N64=""),"",(L64+N64)/2)))</x:f>
      </x:c>
      <x:c r="R64" s="62" t="str">
        <x:f>IF(OR(P64="",Q64=""),"",Q64-P64)</x:f>
      </x:c>
      <x:c r="S64" s="62" t="str">
        <x:f>IF(H64="Ikke spillet","",IF(R64="","",IF(ABS(R64)&lt;0.000001,"Lige (0)",VLOOKUP(ABS(R64),'BD Pointtabel'!$A$4:$G$15,2,TRUE))))</x:f>
      </x:c>
      <x:c r="T64" s="62" t="str">
        <x:f>IF(H64="Ikke spillet","Ikke spillet",IF(H64="Planlagt","Planlagt",IF(OR(H64="",P64="",Q64=""),"",IF(H64="Vundet",IF(R64&gt;0,"Uventet sejr","Ventet sejr"),IF(R64&gt;=0,"Ventet nederlag","Uventet nederlag")))))</x:f>
      </x:c>
      <x:c r="U64" s="62" t="str">
        <x:f>IF(OR(H64="Ikke spillet",H64="Planlagt"),"",IF(OR(G64="",H64="",P64="",Q64=""),"",IF(AND(F64="Ungdomsholdturnering",OR(G64="Double",G64="Mix"),H64="Tabt"),0,IF(H64="Vundet",IF(R64&gt;0,VLOOKUP(ABS(R64),'BD Pointtabel'!$A$4:$G$15,4,TRUE),VLOOKUP(ABS(R64),'BD Pointtabel'!$A$4:$G$15,7,TRUE)),IF(R64&gt;=0,VLOOKUP(ABS(R64),'BD Pointtabel'!$A$4:$G$15,6,TRUE),VLOOKUP(ABS(R64),'BD Pointtabel'!$A$4:$G$15,3,TRUE))))))</x:f>
      </x:c>
      <x:c r="V64" s="62" t="str">
        <x:f>IF(G64="","",SUMIFS($U$10:U64,$AG$10:AG64,AG64,$G$10:G64,G64))</x:f>
      </x:c>
      <x:c r="W64" s="62" t="str">
        <x:f>IF(C64="","",IF(AN64&lt;&gt;1,"",IF(G64="Single",AA64,IF(G64="Double",AC64,AE64))))</x:f>
      </x:c>
      <x:c r="X64" s="62" t="str">
        <x:f>IF(C64="","",IF(AN64&lt;&gt;1,"",ROUND(((AA64*AB64+AC64*AD64+AE64*AF64)/(AB64+AD64+AF64))+IF((MAX(AA64,AC64,AE64)-(AA64+AC64+AE64-MAX(AA64,AC64,AE64)-MIN(AA64,AC64,AE64)))&lt;'Model &amp; indstillinger'!$E$16,'Model &amp; indstillinger'!$E$18,'Model &amp; indstillinger'!$E$20)*(MAX(AA64,AC64,AE64)-((AA64*AB64+AC64*AD64+AE64*AF64)/(AB64+AD64+AF64))),0)))</x:f>
      </x:c>
      <x:c r="Y64" s="62" t="str">
        <x:f>IF(X64="","",'Model &amp; indstillinger'!$B$4-X64)</x:f>
      </x:c>
      <x:c r="Z64" s="62" t="str">
        <x:f>IF(C64="","",IF(H64="Planlagt","Planlagt – ingen point endnu",IF(H64="Ikke spillet","Ikke spillet – tæller ikke som kamp og giver ingen point",IF(AN64=1,"STÆVNE SLUT – samlet point tilskrives","Frosset pointgrundlag – ingen tilskrivning endnu"))))</x:f>
      </x:c>
      <x:c r="AA64" s="60" t="str">
        <x:f>IF(C64="","",'Model &amp; indstillinger'!$B$6+SUMIFS($U$10:U64,$G$10:G64,"Single"))</x:f>
      </x:c>
      <x:c r="AB64" s="60" t="str">
        <x:f>IF(C64="","",'Model &amp; indstillinger'!$B$7+COUNTIFS($G$10:G64,"Single",$AK$10:AK64,1))</x:f>
      </x:c>
      <x:c r="AC64" s="60" t="str">
        <x:f>IF(C64="","",'Model &amp; indstillinger'!$B$8+SUMIFS($U$10:U64,$G$10:G64,"Double"))</x:f>
      </x:c>
      <x:c r="AD64" s="60" t="str">
        <x:f>IF(C64="","",'Model &amp; indstillinger'!$B$9+COUNTIFS($G$10:G64,"Double",$AK$10:AK64,1))</x:f>
      </x:c>
      <x:c r="AE64" s="60" t="str">
        <x:f>IF(C64="","",'Model &amp; indstillinger'!$B$10+SUMIFS($U$10:U64,$G$10:G64,"Mix"))</x:f>
      </x:c>
      <x:c r="AF64" s="60" t="str">
        <x:f>IF(C64="","",'Model &amp; indstillinger'!$B$11+COUNTIFS($G$10:G64,"Mix",$AK$10:AK64,1))</x:f>
      </x:c>
      <x:c r="AG64" s="60" t="str">
        <x:f>IF(C64="","",IF(C64=C63,AG63,AG63+1))</x:f>
      </x:c>
      <x:c r="AH64" s="60" t="str">
        <x:f>IF(C64="","",IF(AG64=AG63,AH63,AA63))</x:f>
      </x:c>
      <x:c r="AI64" s="60" t="str">
        <x:f>IF(C64="","",IF(AG64=AG63,AI63,AC63))</x:f>
      </x:c>
      <x:c r="AJ64" s="60" t="str">
        <x:f>IF(C64="","",IF(AG64=AG63,AJ63,AE63))</x:f>
      </x:c>
      <x:c r="AK64" s="60" t="n">
        <x:f>IF(OR(H64="Vundet",H64="Tabt"),1,0)</x:f>
        <x:v>0</x:v>
      </x:c>
      <x:c r="AL64" s="60" t="n"/>
      <x:c r="AM64" s="60" t="n">
        <x:f>MAX($AG$10:$AG$209)</x:f>
        <x:v>4</x:v>
      </x:c>
      <x:c r="AN64" s="60" t="str">
        <x:f>IF(C64="","",IF(AND(C65&lt;&gt;"",C65&lt;&gt;C64),1,0))</x:f>
      </x:c>
      <x:c r="AO64" s="60" t="n"/>
      <x:c r="AP64" s="60" t="n">
        <x:f>MAX($AG$10:$AG$209)</x:f>
        <x:v>4</x:v>
      </x:c>
      <x:c r="AQ64" t="str">
        <x:f>AG64</x:f>
      </x:c>
      <x:c r="AR64" t="n">
        <x:f>C64</x:f>
        <x:v>0</x:v>
      </x:c>
      <x:c r="AS64" t="n">
        <x:f>E64</x:f>
        <x:v>0</x:v>
      </x:c>
    </x:row>
    <x:row r="65">
      <x:c r="A65" s="60" t="str">
        <x:f>IF(C65="","",COUNTIF($C$10:C65,"&lt;&gt;"))</x:f>
      </x:c>
      <x:c r="B65" s="122" t="n"/>
      <x:c r="C65" s="87" t="n"/>
      <x:c r="D65" s="87" t="n"/>
      <x:c r="E65" s="87" t="n"/>
      <x:c r="F65" s="87" t="n"/>
      <x:c r="G65" s="87" t="n"/>
      <x:c r="H65" s="87" t="n"/>
      <x:c r="I65" s="87" t="n"/>
      <x:c r="J65" s="87" t="n"/>
      <x:c r="K65" s="87" t="n"/>
      <x:c r="L65" s="87" t="n"/>
      <x:c r="M65" s="87" t="n"/>
      <x:c r="N65" s="87" t="n"/>
      <x:c r="O65" s="62" t="str">
        <x:f>IF(G65="","",IF(G65="Single",AH65,IF(G65="Double",AI65,AJ65)))</x:f>
      </x:c>
      <x:c r="P65" s="62" t="str">
        <x:f>IF(OR(G65="",H65="Ikke spillet"),"",IF(G65="Single",O65,IF(J65="","",(O65+J65)/2)))</x:f>
      </x:c>
      <x:c r="Q65" s="62" t="str">
        <x:f>IF(OR(G65="",H65="Ikke spillet"),"",IF(G65="Single",L65,IF(OR(L65="",N65=""),"",(L65+N65)/2)))</x:f>
      </x:c>
      <x:c r="R65" s="62" t="str">
        <x:f>IF(OR(P65="",Q65=""),"",Q65-P65)</x:f>
      </x:c>
      <x:c r="S65" s="62" t="str">
        <x:f>IF(H65="Ikke spillet","",IF(R65="","",IF(ABS(R65)&lt;0.000001,"Lige (0)",VLOOKUP(ABS(R65),'BD Pointtabel'!$A$4:$G$15,2,TRUE))))</x:f>
      </x:c>
      <x:c r="T65" s="62" t="str">
        <x:f>IF(H65="Ikke spillet","Ikke spillet",IF(H65="Planlagt","Planlagt",IF(OR(H65="",P65="",Q65=""),"",IF(H65="Vundet",IF(R65&gt;0,"Uventet sejr","Ventet sejr"),IF(R65&gt;=0,"Ventet nederlag","Uventet nederlag")))))</x:f>
      </x:c>
      <x:c r="U65" s="62" t="str">
        <x:f>IF(OR(H65="Ikke spillet",H65="Planlagt"),"",IF(OR(G65="",H65="",P65="",Q65=""),"",IF(AND(F65="Ungdomsholdturnering",OR(G65="Double",G65="Mix"),H65="Tabt"),0,IF(H65="Vundet",IF(R65&gt;0,VLOOKUP(ABS(R65),'BD Pointtabel'!$A$4:$G$15,4,TRUE),VLOOKUP(ABS(R65),'BD Pointtabel'!$A$4:$G$15,7,TRUE)),IF(R65&gt;=0,VLOOKUP(ABS(R65),'BD Pointtabel'!$A$4:$G$15,6,TRUE),VLOOKUP(ABS(R65),'BD Pointtabel'!$A$4:$G$15,3,TRUE))))))</x:f>
      </x:c>
      <x:c r="V65" s="62" t="str">
        <x:f>IF(G65="","",SUMIFS($U$10:U65,$AG$10:AG65,AG65,$G$10:G65,G65))</x:f>
      </x:c>
      <x:c r="W65" s="62" t="str">
        <x:f>IF(C65="","",IF(AN65&lt;&gt;1,"",IF(G65="Single",AA65,IF(G65="Double",AC65,AE65))))</x:f>
      </x:c>
      <x:c r="X65" s="62" t="str">
        <x:f>IF(C65="","",IF(AN65&lt;&gt;1,"",ROUND(((AA65*AB65+AC65*AD65+AE65*AF65)/(AB65+AD65+AF65))+IF((MAX(AA65,AC65,AE65)-(AA65+AC65+AE65-MAX(AA65,AC65,AE65)-MIN(AA65,AC65,AE65)))&lt;'Model &amp; indstillinger'!$E$16,'Model &amp; indstillinger'!$E$18,'Model &amp; indstillinger'!$E$20)*(MAX(AA65,AC65,AE65)-((AA65*AB65+AC65*AD65+AE65*AF65)/(AB65+AD65+AF65))),0)))</x:f>
      </x:c>
      <x:c r="Y65" s="62" t="str">
        <x:f>IF(X65="","",'Model &amp; indstillinger'!$B$4-X65)</x:f>
      </x:c>
      <x:c r="Z65" s="62" t="str">
        <x:f>IF(C65="","",IF(H65="Planlagt","Planlagt – ingen point endnu",IF(H65="Ikke spillet","Ikke spillet – tæller ikke som kamp og giver ingen point",IF(AN65=1,"STÆVNE SLUT – samlet point tilskrives","Frosset pointgrundlag – ingen tilskrivning endnu"))))</x:f>
      </x:c>
      <x:c r="AA65" s="60" t="str">
        <x:f>IF(C65="","",'Model &amp; indstillinger'!$B$6+SUMIFS($U$10:U65,$G$10:G65,"Single"))</x:f>
      </x:c>
      <x:c r="AB65" s="60" t="str">
        <x:f>IF(C65="","",'Model &amp; indstillinger'!$B$7+COUNTIFS($G$10:G65,"Single",$AK$10:AK65,1))</x:f>
      </x:c>
      <x:c r="AC65" s="60" t="str">
        <x:f>IF(C65="","",'Model &amp; indstillinger'!$B$8+SUMIFS($U$10:U65,$G$10:G65,"Double"))</x:f>
      </x:c>
      <x:c r="AD65" s="60" t="str">
        <x:f>IF(C65="","",'Model &amp; indstillinger'!$B$9+COUNTIFS($G$10:G65,"Double",$AK$10:AK65,1))</x:f>
      </x:c>
      <x:c r="AE65" s="60" t="str">
        <x:f>IF(C65="","",'Model &amp; indstillinger'!$B$10+SUMIFS($U$10:U65,$G$10:G65,"Mix"))</x:f>
      </x:c>
      <x:c r="AF65" s="60" t="str">
        <x:f>IF(C65="","",'Model &amp; indstillinger'!$B$11+COUNTIFS($G$10:G65,"Mix",$AK$10:AK65,1))</x:f>
      </x:c>
      <x:c r="AG65" s="60" t="str">
        <x:f>IF(C65="","",IF(C65=C64,AG64,AG64+1))</x:f>
      </x:c>
      <x:c r="AH65" s="60" t="str">
        <x:f>IF(C65="","",IF(AG65=AG64,AH64,AA64))</x:f>
      </x:c>
      <x:c r="AI65" s="60" t="str">
        <x:f>IF(C65="","",IF(AG65=AG64,AI64,AC64))</x:f>
      </x:c>
      <x:c r="AJ65" s="60" t="str">
        <x:f>IF(C65="","",IF(AG65=AG64,AJ64,AE64))</x:f>
      </x:c>
      <x:c r="AK65" s="60" t="n">
        <x:f>IF(OR(H65="Vundet",H65="Tabt"),1,0)</x:f>
        <x:v>0</x:v>
      </x:c>
      <x:c r="AL65" s="60" t="n"/>
      <x:c r="AM65" s="60" t="n">
        <x:f>MAX($AG$10:$AG$209)</x:f>
        <x:v>4</x:v>
      </x:c>
      <x:c r="AN65" s="60" t="str">
        <x:f>IF(C65="","",IF(AND(C66&lt;&gt;"",C66&lt;&gt;C65),1,0))</x:f>
      </x:c>
      <x:c r="AO65" s="60" t="n"/>
      <x:c r="AP65" s="60" t="n">
        <x:f>MAX($AG$10:$AG$209)</x:f>
        <x:v>4</x:v>
      </x:c>
      <x:c r="AQ65" t="str">
        <x:f>AG65</x:f>
      </x:c>
      <x:c r="AR65" t="n">
        <x:f>C65</x:f>
        <x:v>0</x:v>
      </x:c>
      <x:c r="AS65" t="n">
        <x:f>E65</x:f>
        <x:v>0</x:v>
      </x:c>
    </x:row>
    <x:row r="66">
      <x:c r="A66" s="60" t="str">
        <x:f>IF(C66="","",COUNTIF($C$10:C66,"&lt;&gt;"))</x:f>
      </x:c>
      <x:c r="B66" s="122" t="n"/>
      <x:c r="C66" s="87" t="n"/>
      <x:c r="D66" s="87" t="n"/>
      <x:c r="E66" s="87" t="n"/>
      <x:c r="F66" s="87" t="n"/>
      <x:c r="G66" s="87" t="n"/>
      <x:c r="H66" s="87" t="n"/>
      <x:c r="I66" s="87" t="n"/>
      <x:c r="J66" s="87" t="n"/>
      <x:c r="K66" s="87" t="n"/>
      <x:c r="L66" s="87" t="n"/>
      <x:c r="M66" s="87" t="n"/>
      <x:c r="N66" s="87" t="n"/>
      <x:c r="O66" s="62" t="str">
        <x:f>IF(G66="","",IF(G66="Single",AH66,IF(G66="Double",AI66,AJ66)))</x:f>
      </x:c>
      <x:c r="P66" s="62" t="str">
        <x:f>IF(OR(G66="",H66="Ikke spillet"),"",IF(G66="Single",O66,IF(J66="","",(O66+J66)/2)))</x:f>
      </x:c>
      <x:c r="Q66" s="62" t="str">
        <x:f>IF(OR(G66="",H66="Ikke spillet"),"",IF(G66="Single",L66,IF(OR(L66="",N66=""),"",(L66+N66)/2)))</x:f>
      </x:c>
      <x:c r="R66" s="62" t="str">
        <x:f>IF(OR(P66="",Q66=""),"",Q66-P66)</x:f>
      </x:c>
      <x:c r="S66" s="62" t="str">
        <x:f>IF(H66="Ikke spillet","",IF(R66="","",IF(ABS(R66)&lt;0.000001,"Lige (0)",VLOOKUP(ABS(R66),'BD Pointtabel'!$A$4:$G$15,2,TRUE))))</x:f>
      </x:c>
      <x:c r="T66" s="62" t="str">
        <x:f>IF(H66="Ikke spillet","Ikke spillet",IF(H66="Planlagt","Planlagt",IF(OR(H66="",P66="",Q66=""),"",IF(H66="Vundet",IF(R66&gt;0,"Uventet sejr","Ventet sejr"),IF(R66&gt;=0,"Ventet nederlag","Uventet nederlag")))))</x:f>
      </x:c>
      <x:c r="U66" s="62" t="str">
        <x:f>IF(OR(H66="Ikke spillet",H66="Planlagt"),"",IF(OR(G66="",H66="",P66="",Q66=""),"",IF(AND(F66="Ungdomsholdturnering",OR(G66="Double",G66="Mix"),H66="Tabt"),0,IF(H66="Vundet",IF(R66&gt;0,VLOOKUP(ABS(R66),'BD Pointtabel'!$A$4:$G$15,4,TRUE),VLOOKUP(ABS(R66),'BD Pointtabel'!$A$4:$G$15,7,TRUE)),IF(R66&gt;=0,VLOOKUP(ABS(R66),'BD Pointtabel'!$A$4:$G$15,6,TRUE),VLOOKUP(ABS(R66),'BD Pointtabel'!$A$4:$G$15,3,TRUE))))))</x:f>
      </x:c>
      <x:c r="V66" s="62" t="str">
        <x:f>IF(G66="","",SUMIFS($U$10:U66,$AG$10:AG66,AG66,$G$10:G66,G66))</x:f>
      </x:c>
      <x:c r="W66" s="62" t="str">
        <x:f>IF(C66="","",IF(AN66&lt;&gt;1,"",IF(G66="Single",AA66,IF(G66="Double",AC66,AE66))))</x:f>
      </x:c>
      <x:c r="X66" s="62" t="str">
        <x:f>IF(C66="","",IF(AN66&lt;&gt;1,"",ROUND(((AA66*AB66+AC66*AD66+AE66*AF66)/(AB66+AD66+AF66))+IF((MAX(AA66,AC66,AE66)-(AA66+AC66+AE66-MAX(AA66,AC66,AE66)-MIN(AA66,AC66,AE66)))&lt;'Model &amp; indstillinger'!$E$16,'Model &amp; indstillinger'!$E$18,'Model &amp; indstillinger'!$E$20)*(MAX(AA66,AC66,AE66)-((AA66*AB66+AC66*AD66+AE66*AF66)/(AB66+AD66+AF66))),0)))</x:f>
      </x:c>
      <x:c r="Y66" s="62" t="str">
        <x:f>IF(X66="","",'Model &amp; indstillinger'!$B$4-X66)</x:f>
      </x:c>
      <x:c r="Z66" s="62" t="str">
        <x:f>IF(C66="","",IF(H66="Planlagt","Planlagt – ingen point endnu",IF(H66="Ikke spillet","Ikke spillet – tæller ikke som kamp og giver ingen point",IF(AN66=1,"STÆVNE SLUT – samlet point tilskrives","Frosset pointgrundlag – ingen tilskrivning endnu"))))</x:f>
      </x:c>
      <x:c r="AA66" s="60" t="str">
        <x:f>IF(C66="","",'Model &amp; indstillinger'!$B$6+SUMIFS($U$10:U66,$G$10:G66,"Single"))</x:f>
      </x:c>
      <x:c r="AB66" s="60" t="str">
        <x:f>IF(C66="","",'Model &amp; indstillinger'!$B$7+COUNTIFS($G$10:G66,"Single",$AK$10:AK66,1))</x:f>
      </x:c>
      <x:c r="AC66" s="60" t="str">
        <x:f>IF(C66="","",'Model &amp; indstillinger'!$B$8+SUMIFS($U$10:U66,$G$10:G66,"Double"))</x:f>
      </x:c>
      <x:c r="AD66" s="60" t="str">
        <x:f>IF(C66="","",'Model &amp; indstillinger'!$B$9+COUNTIFS($G$10:G66,"Double",$AK$10:AK66,1))</x:f>
      </x:c>
      <x:c r="AE66" s="60" t="str">
        <x:f>IF(C66="","",'Model &amp; indstillinger'!$B$10+SUMIFS($U$10:U66,$G$10:G66,"Mix"))</x:f>
      </x:c>
      <x:c r="AF66" s="60" t="str">
        <x:f>IF(C66="","",'Model &amp; indstillinger'!$B$11+COUNTIFS($G$10:G66,"Mix",$AK$10:AK66,1))</x:f>
      </x:c>
      <x:c r="AG66" s="60" t="str">
        <x:f>IF(C66="","",IF(C66=C65,AG65,AG65+1))</x:f>
      </x:c>
      <x:c r="AH66" s="60" t="str">
        <x:f>IF(C66="","",IF(AG66=AG65,AH65,AA65))</x:f>
      </x:c>
      <x:c r="AI66" s="60" t="str">
        <x:f>IF(C66="","",IF(AG66=AG65,AI65,AC65))</x:f>
      </x:c>
      <x:c r="AJ66" s="60" t="str">
        <x:f>IF(C66="","",IF(AG66=AG65,AJ65,AE65))</x:f>
      </x:c>
      <x:c r="AK66" s="60" t="n">
        <x:f>IF(OR(H66="Vundet",H66="Tabt"),1,0)</x:f>
        <x:v>0</x:v>
      </x:c>
      <x:c r="AL66" s="60" t="n"/>
      <x:c r="AM66" s="60" t="n">
        <x:f>MAX($AG$10:$AG$209)</x:f>
        <x:v>4</x:v>
      </x:c>
      <x:c r="AN66" s="60" t="str">
        <x:f>IF(C66="","",IF(AND(C67&lt;&gt;"",C67&lt;&gt;C66),1,0))</x:f>
      </x:c>
      <x:c r="AO66" s="60" t="n"/>
      <x:c r="AP66" s="60" t="n">
        <x:f>MAX($AG$10:$AG$209)</x:f>
        <x:v>4</x:v>
      </x:c>
      <x:c r="AQ66" t="str">
        <x:f>AG66</x:f>
      </x:c>
      <x:c r="AR66" t="n">
        <x:f>C66</x:f>
        <x:v>0</x:v>
      </x:c>
      <x:c r="AS66" t="n">
        <x:f>E66</x:f>
        <x:v>0</x:v>
      </x:c>
    </x:row>
    <x:row r="67">
      <x:c r="A67" s="60" t="str">
        <x:f>IF(C67="","",COUNTIF($C$10:C67,"&lt;&gt;"))</x:f>
      </x:c>
      <x:c r="B67" s="122" t="n"/>
      <x:c r="C67" s="87" t="n"/>
      <x:c r="D67" s="87" t="n"/>
      <x:c r="E67" s="87" t="n"/>
      <x:c r="F67" s="87" t="n"/>
      <x:c r="G67" s="87" t="n"/>
      <x:c r="H67" s="87" t="n"/>
      <x:c r="I67" s="87" t="n"/>
      <x:c r="J67" s="87" t="n"/>
      <x:c r="K67" s="87" t="n"/>
      <x:c r="L67" s="87" t="n"/>
      <x:c r="M67" s="87" t="n"/>
      <x:c r="N67" s="87" t="n"/>
      <x:c r="O67" s="62" t="str">
        <x:f>IF(G67="","",IF(G67="Single",AH67,IF(G67="Double",AI67,AJ67)))</x:f>
      </x:c>
      <x:c r="P67" s="62" t="str">
        <x:f>IF(OR(G67="",H67="Ikke spillet"),"",IF(G67="Single",O67,IF(J67="","",(O67+J67)/2)))</x:f>
      </x:c>
      <x:c r="Q67" s="62" t="str">
        <x:f>IF(OR(G67="",H67="Ikke spillet"),"",IF(G67="Single",L67,IF(OR(L67="",N67=""),"",(L67+N67)/2)))</x:f>
      </x:c>
      <x:c r="R67" s="62" t="str">
        <x:f>IF(OR(P67="",Q67=""),"",Q67-P67)</x:f>
      </x:c>
      <x:c r="S67" s="62" t="str">
        <x:f>IF(H67="Ikke spillet","",IF(R67="","",IF(ABS(R67)&lt;0.000001,"Lige (0)",VLOOKUP(ABS(R67),'BD Pointtabel'!$A$4:$G$15,2,TRUE))))</x:f>
      </x:c>
      <x:c r="T67" s="62" t="str">
        <x:f>IF(H67="Ikke spillet","Ikke spillet",IF(H67="Planlagt","Planlagt",IF(OR(H67="",P67="",Q67=""),"",IF(H67="Vundet",IF(R67&gt;0,"Uventet sejr","Ventet sejr"),IF(R67&gt;=0,"Ventet nederlag","Uventet nederlag")))))</x:f>
      </x:c>
      <x:c r="U67" s="62" t="str">
        <x:f>IF(OR(H67="Ikke spillet",H67="Planlagt"),"",IF(OR(G67="",H67="",P67="",Q67=""),"",IF(AND(F67="Ungdomsholdturnering",OR(G67="Double",G67="Mix"),H67="Tabt"),0,IF(H67="Vundet",IF(R67&gt;0,VLOOKUP(ABS(R67),'BD Pointtabel'!$A$4:$G$15,4,TRUE),VLOOKUP(ABS(R67),'BD Pointtabel'!$A$4:$G$15,7,TRUE)),IF(R67&gt;=0,VLOOKUP(ABS(R67),'BD Pointtabel'!$A$4:$G$15,6,TRUE),VLOOKUP(ABS(R67),'BD Pointtabel'!$A$4:$G$15,3,TRUE))))))</x:f>
      </x:c>
      <x:c r="V67" s="62" t="str">
        <x:f>IF(G67="","",SUMIFS($U$10:U67,$AG$10:AG67,AG67,$G$10:G67,G67))</x:f>
      </x:c>
      <x:c r="W67" s="62" t="str">
        <x:f>IF(C67="","",IF(AN67&lt;&gt;1,"",IF(G67="Single",AA67,IF(G67="Double",AC67,AE67))))</x:f>
      </x:c>
      <x:c r="X67" s="62" t="str">
        <x:f>IF(C67="","",IF(AN67&lt;&gt;1,"",ROUND(((AA67*AB67+AC67*AD67+AE67*AF67)/(AB67+AD67+AF67))+IF((MAX(AA67,AC67,AE67)-(AA67+AC67+AE67-MAX(AA67,AC67,AE67)-MIN(AA67,AC67,AE67)))&lt;'Model &amp; indstillinger'!$E$16,'Model &amp; indstillinger'!$E$18,'Model &amp; indstillinger'!$E$20)*(MAX(AA67,AC67,AE67)-((AA67*AB67+AC67*AD67+AE67*AF67)/(AB67+AD67+AF67))),0)))</x:f>
      </x:c>
      <x:c r="Y67" s="62" t="str">
        <x:f>IF(X67="","",'Model &amp; indstillinger'!$B$4-X67)</x:f>
      </x:c>
      <x:c r="Z67" s="62" t="str">
        <x:f>IF(C67="","",IF(H67="Planlagt","Planlagt – ingen point endnu",IF(H67="Ikke spillet","Ikke spillet – tæller ikke som kamp og giver ingen point",IF(AN67=1,"STÆVNE SLUT – samlet point tilskrives","Frosset pointgrundlag – ingen tilskrivning endnu"))))</x:f>
      </x:c>
      <x:c r="AA67" s="60" t="str">
        <x:f>IF(C67="","",'Model &amp; indstillinger'!$B$6+SUMIFS($U$10:U67,$G$10:G67,"Single"))</x:f>
      </x:c>
      <x:c r="AB67" s="60" t="str">
        <x:f>IF(C67="","",'Model &amp; indstillinger'!$B$7+COUNTIFS($G$10:G67,"Single",$AK$10:AK67,1))</x:f>
      </x:c>
      <x:c r="AC67" s="60" t="str">
        <x:f>IF(C67="","",'Model &amp; indstillinger'!$B$8+SUMIFS($U$10:U67,$G$10:G67,"Double"))</x:f>
      </x:c>
      <x:c r="AD67" s="60" t="str">
        <x:f>IF(C67="","",'Model &amp; indstillinger'!$B$9+COUNTIFS($G$10:G67,"Double",$AK$10:AK67,1))</x:f>
      </x:c>
      <x:c r="AE67" s="60" t="str">
        <x:f>IF(C67="","",'Model &amp; indstillinger'!$B$10+SUMIFS($U$10:U67,$G$10:G67,"Mix"))</x:f>
      </x:c>
      <x:c r="AF67" s="60" t="str">
        <x:f>IF(C67="","",'Model &amp; indstillinger'!$B$11+COUNTIFS($G$10:G67,"Mix",$AK$10:AK67,1))</x:f>
      </x:c>
      <x:c r="AG67" s="60" t="str">
        <x:f>IF(C67="","",IF(C67=C66,AG66,AG66+1))</x:f>
      </x:c>
      <x:c r="AH67" s="60" t="str">
        <x:f>IF(C67="","",IF(AG67=AG66,AH66,AA66))</x:f>
      </x:c>
      <x:c r="AI67" s="60" t="str">
        <x:f>IF(C67="","",IF(AG67=AG66,AI66,AC66))</x:f>
      </x:c>
      <x:c r="AJ67" s="60" t="str">
        <x:f>IF(C67="","",IF(AG67=AG66,AJ66,AE66))</x:f>
      </x:c>
      <x:c r="AK67" s="60" t="n">
        <x:f>IF(OR(H67="Vundet",H67="Tabt"),1,0)</x:f>
        <x:v>0</x:v>
      </x:c>
      <x:c r="AL67" s="60" t="n"/>
      <x:c r="AM67" s="60" t="n">
        <x:f>MAX($AG$10:$AG$209)</x:f>
        <x:v>4</x:v>
      </x:c>
      <x:c r="AN67" s="60" t="str">
        <x:f>IF(C67="","",IF(AND(C68&lt;&gt;"",C68&lt;&gt;C67),1,0))</x:f>
      </x:c>
      <x:c r="AO67" s="60" t="n"/>
      <x:c r="AP67" s="60" t="n">
        <x:f>MAX($AG$10:$AG$209)</x:f>
        <x:v>4</x:v>
      </x:c>
      <x:c r="AQ67" t="str">
        <x:f>AG67</x:f>
      </x:c>
      <x:c r="AR67" t="n">
        <x:f>C67</x:f>
        <x:v>0</x:v>
      </x:c>
      <x:c r="AS67" t="n">
        <x:f>E67</x:f>
        <x:v>0</x:v>
      </x:c>
    </x:row>
    <x:row r="68">
      <x:c r="A68" s="60" t="str">
        <x:f>IF(C68="","",COUNTIF($C$10:C68,"&lt;&gt;"))</x:f>
      </x:c>
      <x:c r="B68" s="122" t="n"/>
      <x:c r="C68" s="87" t="n"/>
      <x:c r="D68" s="87" t="n"/>
      <x:c r="E68" s="87" t="n"/>
      <x:c r="F68" s="87" t="n"/>
      <x:c r="G68" s="87" t="n"/>
      <x:c r="H68" s="87" t="n"/>
      <x:c r="I68" s="87" t="n"/>
      <x:c r="J68" s="87" t="n"/>
      <x:c r="K68" s="87" t="n"/>
      <x:c r="L68" s="87" t="n"/>
      <x:c r="M68" s="87" t="n"/>
      <x:c r="N68" s="87" t="n"/>
      <x:c r="O68" s="62" t="str">
        <x:f>IF(G68="","",IF(G68="Single",AH68,IF(G68="Double",AI68,AJ68)))</x:f>
      </x:c>
      <x:c r="P68" s="62" t="str">
        <x:f>IF(OR(G68="",H68="Ikke spillet"),"",IF(G68="Single",O68,IF(J68="","",(O68+J68)/2)))</x:f>
      </x:c>
      <x:c r="Q68" s="62" t="str">
        <x:f>IF(OR(G68="",H68="Ikke spillet"),"",IF(G68="Single",L68,IF(OR(L68="",N68=""),"",(L68+N68)/2)))</x:f>
      </x:c>
      <x:c r="R68" s="62" t="str">
        <x:f>IF(OR(P68="",Q68=""),"",Q68-P68)</x:f>
      </x:c>
      <x:c r="S68" s="62" t="str">
        <x:f>IF(H68="Ikke spillet","",IF(R68="","",IF(ABS(R68)&lt;0.000001,"Lige (0)",VLOOKUP(ABS(R68),'BD Pointtabel'!$A$4:$G$15,2,TRUE))))</x:f>
      </x:c>
      <x:c r="T68" s="62" t="str">
        <x:f>IF(H68="Ikke spillet","Ikke spillet",IF(H68="Planlagt","Planlagt",IF(OR(H68="",P68="",Q68=""),"",IF(H68="Vundet",IF(R68&gt;0,"Uventet sejr","Ventet sejr"),IF(R68&gt;=0,"Ventet nederlag","Uventet nederlag")))))</x:f>
      </x:c>
      <x:c r="U68" s="62" t="str">
        <x:f>IF(OR(H68="Ikke spillet",H68="Planlagt"),"",IF(OR(G68="",H68="",P68="",Q68=""),"",IF(AND(F68="Ungdomsholdturnering",OR(G68="Double",G68="Mix"),H68="Tabt"),0,IF(H68="Vundet",IF(R68&gt;0,VLOOKUP(ABS(R68),'BD Pointtabel'!$A$4:$G$15,4,TRUE),VLOOKUP(ABS(R68),'BD Pointtabel'!$A$4:$G$15,7,TRUE)),IF(R68&gt;=0,VLOOKUP(ABS(R68),'BD Pointtabel'!$A$4:$G$15,6,TRUE),VLOOKUP(ABS(R68),'BD Pointtabel'!$A$4:$G$15,3,TRUE))))))</x:f>
      </x:c>
      <x:c r="V68" s="62" t="str">
        <x:f>IF(G68="","",SUMIFS($U$10:U68,$AG$10:AG68,AG68,$G$10:G68,G68))</x:f>
      </x:c>
      <x:c r="W68" s="62" t="str">
        <x:f>IF(C68="","",IF(AN68&lt;&gt;1,"",IF(G68="Single",AA68,IF(G68="Double",AC68,AE68))))</x:f>
      </x:c>
      <x:c r="X68" s="62" t="str">
        <x:f>IF(C68="","",IF(AN68&lt;&gt;1,"",ROUND(((AA68*AB68+AC68*AD68+AE68*AF68)/(AB68+AD68+AF68))+IF((MAX(AA68,AC68,AE68)-(AA68+AC68+AE68-MAX(AA68,AC68,AE68)-MIN(AA68,AC68,AE68)))&lt;'Model &amp; indstillinger'!$E$16,'Model &amp; indstillinger'!$E$18,'Model &amp; indstillinger'!$E$20)*(MAX(AA68,AC68,AE68)-((AA68*AB68+AC68*AD68+AE68*AF68)/(AB68+AD68+AF68))),0)))</x:f>
      </x:c>
      <x:c r="Y68" s="62" t="str">
        <x:f>IF(X68="","",'Model &amp; indstillinger'!$B$4-X68)</x:f>
      </x:c>
      <x:c r="Z68" s="62" t="str">
        <x:f>IF(C68="","",IF(H68="Planlagt","Planlagt – ingen point endnu",IF(H68="Ikke spillet","Ikke spillet – tæller ikke som kamp og giver ingen point",IF(AN68=1,"STÆVNE SLUT – samlet point tilskrives","Frosset pointgrundlag – ingen tilskrivning endnu"))))</x:f>
      </x:c>
      <x:c r="AA68" s="60" t="str">
        <x:f>IF(C68="","",'Model &amp; indstillinger'!$B$6+SUMIFS($U$10:U68,$G$10:G68,"Single"))</x:f>
      </x:c>
      <x:c r="AB68" s="60" t="str">
        <x:f>IF(C68="","",'Model &amp; indstillinger'!$B$7+COUNTIFS($G$10:G68,"Single",$AK$10:AK68,1))</x:f>
      </x:c>
      <x:c r="AC68" s="60" t="str">
        <x:f>IF(C68="","",'Model &amp; indstillinger'!$B$8+SUMIFS($U$10:U68,$G$10:G68,"Double"))</x:f>
      </x:c>
      <x:c r="AD68" s="60" t="str">
        <x:f>IF(C68="","",'Model &amp; indstillinger'!$B$9+COUNTIFS($G$10:G68,"Double",$AK$10:AK68,1))</x:f>
      </x:c>
      <x:c r="AE68" s="60" t="str">
        <x:f>IF(C68="","",'Model &amp; indstillinger'!$B$10+SUMIFS($U$10:U68,$G$10:G68,"Mix"))</x:f>
      </x:c>
      <x:c r="AF68" s="60" t="str">
        <x:f>IF(C68="","",'Model &amp; indstillinger'!$B$11+COUNTIFS($G$10:G68,"Mix",$AK$10:AK68,1))</x:f>
      </x:c>
      <x:c r="AG68" s="60" t="str">
        <x:f>IF(C68="","",IF(C68=C67,AG67,AG67+1))</x:f>
      </x:c>
      <x:c r="AH68" s="60" t="str">
        <x:f>IF(C68="","",IF(AG68=AG67,AH67,AA67))</x:f>
      </x:c>
      <x:c r="AI68" s="60" t="str">
        <x:f>IF(C68="","",IF(AG68=AG67,AI67,AC67))</x:f>
      </x:c>
      <x:c r="AJ68" s="60" t="str">
        <x:f>IF(C68="","",IF(AG68=AG67,AJ67,AE67))</x:f>
      </x:c>
      <x:c r="AK68" s="60" t="n">
        <x:f>IF(OR(H68="Vundet",H68="Tabt"),1,0)</x:f>
        <x:v>0</x:v>
      </x:c>
      <x:c r="AL68" s="60" t="n"/>
      <x:c r="AM68" s="60" t="n">
        <x:f>MAX($AG$10:$AG$209)</x:f>
        <x:v>4</x:v>
      </x:c>
      <x:c r="AN68" s="60" t="str">
        <x:f>IF(C68="","",IF(AND(C69&lt;&gt;"",C69&lt;&gt;C68),1,0))</x:f>
      </x:c>
      <x:c r="AO68" s="60" t="n"/>
      <x:c r="AP68" s="60" t="n">
        <x:f>MAX($AG$10:$AG$209)</x:f>
        <x:v>4</x:v>
      </x:c>
      <x:c r="AQ68" t="str">
        <x:f>AG68</x:f>
      </x:c>
      <x:c r="AR68" t="n">
        <x:f>C68</x:f>
        <x:v>0</x:v>
      </x:c>
      <x:c r="AS68" t="n">
        <x:f>E68</x:f>
        <x:v>0</x:v>
      </x:c>
    </x:row>
    <x:row r="69">
      <x:c r="A69" s="60" t="str">
        <x:f>IF(C69="","",COUNTIF($C$10:C69,"&lt;&gt;"))</x:f>
      </x:c>
      <x:c r="B69" s="122" t="n"/>
      <x:c r="C69" s="87" t="n"/>
      <x:c r="D69" s="87" t="n"/>
      <x:c r="E69" s="87" t="n"/>
      <x:c r="F69" s="87" t="n"/>
      <x:c r="G69" s="87" t="n"/>
      <x:c r="H69" s="87" t="n"/>
      <x:c r="I69" s="87" t="n"/>
      <x:c r="J69" s="87" t="n"/>
      <x:c r="K69" s="87" t="n"/>
      <x:c r="L69" s="87" t="n"/>
      <x:c r="M69" s="87" t="n"/>
      <x:c r="N69" s="87" t="n"/>
      <x:c r="O69" s="62" t="str">
        <x:f>IF(G69="","",IF(G69="Single",AH69,IF(G69="Double",AI69,AJ69)))</x:f>
      </x:c>
      <x:c r="P69" s="62" t="str">
        <x:f>IF(OR(G69="",H69="Ikke spillet"),"",IF(G69="Single",O69,IF(J69="","",(O69+J69)/2)))</x:f>
      </x:c>
      <x:c r="Q69" s="62" t="str">
        <x:f>IF(OR(G69="",H69="Ikke spillet"),"",IF(G69="Single",L69,IF(OR(L69="",N69=""),"",(L69+N69)/2)))</x:f>
      </x:c>
      <x:c r="R69" s="62" t="str">
        <x:f>IF(OR(P69="",Q69=""),"",Q69-P69)</x:f>
      </x:c>
      <x:c r="S69" s="62" t="str">
        <x:f>IF(H69="Ikke spillet","",IF(R69="","",IF(ABS(R69)&lt;0.000001,"Lige (0)",VLOOKUP(ABS(R69),'BD Pointtabel'!$A$4:$G$15,2,TRUE))))</x:f>
      </x:c>
      <x:c r="T69" s="62" t="str">
        <x:f>IF(H69="Ikke spillet","Ikke spillet",IF(H69="Planlagt","Planlagt",IF(OR(H69="",P69="",Q69=""),"",IF(H69="Vundet",IF(R69&gt;0,"Uventet sejr","Ventet sejr"),IF(R69&gt;=0,"Ventet nederlag","Uventet nederlag")))))</x:f>
      </x:c>
      <x:c r="U69" s="62" t="str">
        <x:f>IF(OR(H69="Ikke spillet",H69="Planlagt"),"",IF(OR(G69="",H69="",P69="",Q69=""),"",IF(AND(F69="Ungdomsholdturnering",OR(G69="Double",G69="Mix"),H69="Tabt"),0,IF(H69="Vundet",IF(R69&gt;0,VLOOKUP(ABS(R69),'BD Pointtabel'!$A$4:$G$15,4,TRUE),VLOOKUP(ABS(R69),'BD Pointtabel'!$A$4:$G$15,7,TRUE)),IF(R69&gt;=0,VLOOKUP(ABS(R69),'BD Pointtabel'!$A$4:$G$15,6,TRUE),VLOOKUP(ABS(R69),'BD Pointtabel'!$A$4:$G$15,3,TRUE))))))</x:f>
      </x:c>
      <x:c r="V69" s="62" t="str">
        <x:f>IF(G69="","",SUMIFS($U$10:U69,$AG$10:AG69,AG69,$G$10:G69,G69))</x:f>
      </x:c>
      <x:c r="W69" s="62" t="str">
        <x:f>IF(C69="","",IF(AN69&lt;&gt;1,"",IF(G69="Single",AA69,IF(G69="Double",AC69,AE69))))</x:f>
      </x:c>
      <x:c r="X69" s="62" t="str">
        <x:f>IF(C69="","",IF(AN69&lt;&gt;1,"",ROUND(((AA69*AB69+AC69*AD69+AE69*AF69)/(AB69+AD69+AF69))+IF((MAX(AA69,AC69,AE69)-(AA69+AC69+AE69-MAX(AA69,AC69,AE69)-MIN(AA69,AC69,AE69)))&lt;'Model &amp; indstillinger'!$E$16,'Model &amp; indstillinger'!$E$18,'Model &amp; indstillinger'!$E$20)*(MAX(AA69,AC69,AE69)-((AA69*AB69+AC69*AD69+AE69*AF69)/(AB69+AD69+AF69))),0)))</x:f>
      </x:c>
      <x:c r="Y69" s="62" t="str">
        <x:f>IF(X69="","",'Model &amp; indstillinger'!$B$4-X69)</x:f>
      </x:c>
      <x:c r="Z69" s="62" t="str">
        <x:f>IF(C69="","",IF(H69="Planlagt","Planlagt – ingen point endnu",IF(H69="Ikke spillet","Ikke spillet – tæller ikke som kamp og giver ingen point",IF(AN69=1,"STÆVNE SLUT – samlet point tilskrives","Frosset pointgrundlag – ingen tilskrivning endnu"))))</x:f>
      </x:c>
      <x:c r="AA69" s="60" t="str">
        <x:f>IF(C69="","",'Model &amp; indstillinger'!$B$6+SUMIFS($U$10:U69,$G$10:G69,"Single"))</x:f>
      </x:c>
      <x:c r="AB69" s="60" t="str">
        <x:f>IF(C69="","",'Model &amp; indstillinger'!$B$7+COUNTIFS($G$10:G69,"Single",$AK$10:AK69,1))</x:f>
      </x:c>
      <x:c r="AC69" s="60" t="str">
        <x:f>IF(C69="","",'Model &amp; indstillinger'!$B$8+SUMIFS($U$10:U69,$G$10:G69,"Double"))</x:f>
      </x:c>
      <x:c r="AD69" s="60" t="str">
        <x:f>IF(C69="","",'Model &amp; indstillinger'!$B$9+COUNTIFS($G$10:G69,"Double",$AK$10:AK69,1))</x:f>
      </x:c>
      <x:c r="AE69" s="60" t="str">
        <x:f>IF(C69="","",'Model &amp; indstillinger'!$B$10+SUMIFS($U$10:U69,$G$10:G69,"Mix"))</x:f>
      </x:c>
      <x:c r="AF69" s="60" t="str">
        <x:f>IF(C69="","",'Model &amp; indstillinger'!$B$11+COUNTIFS($G$10:G69,"Mix",$AK$10:AK69,1))</x:f>
      </x:c>
      <x:c r="AG69" s="60" t="str">
        <x:f>IF(C69="","",IF(C69=C68,AG68,AG68+1))</x:f>
      </x:c>
      <x:c r="AH69" s="60" t="str">
        <x:f>IF(C69="","",IF(AG69=AG68,AH68,AA68))</x:f>
      </x:c>
      <x:c r="AI69" s="60" t="str">
        <x:f>IF(C69="","",IF(AG69=AG68,AI68,AC68))</x:f>
      </x:c>
      <x:c r="AJ69" s="60" t="str">
        <x:f>IF(C69="","",IF(AG69=AG68,AJ68,AE68))</x:f>
      </x:c>
      <x:c r="AK69" s="60" t="n">
        <x:f>IF(OR(H69="Vundet",H69="Tabt"),1,0)</x:f>
        <x:v>0</x:v>
      </x:c>
      <x:c r="AL69" s="60" t="n"/>
      <x:c r="AM69" s="60" t="n">
        <x:f>MAX($AG$10:$AG$209)</x:f>
        <x:v>4</x:v>
      </x:c>
      <x:c r="AN69" s="60" t="str">
        <x:f>IF(C69="","",IF(AND(C70&lt;&gt;"",C70&lt;&gt;C69),1,0))</x:f>
      </x:c>
      <x:c r="AO69" s="60" t="n"/>
      <x:c r="AP69" s="60" t="n">
        <x:f>MAX($AG$10:$AG$209)</x:f>
        <x:v>4</x:v>
      </x:c>
      <x:c r="AQ69" t="str">
        <x:f>AG69</x:f>
      </x:c>
      <x:c r="AR69" t="n">
        <x:f>C69</x:f>
        <x:v>0</x:v>
      </x:c>
      <x:c r="AS69" t="n">
        <x:f>E69</x:f>
        <x:v>0</x:v>
      </x:c>
    </x:row>
    <x:row r="70">
      <x:c r="A70" s="60" t="str">
        <x:f>IF(C70="","",COUNTIF($C$10:C70,"&lt;&gt;"))</x:f>
      </x:c>
      <x:c r="B70" s="122" t="n"/>
      <x:c r="C70" s="87" t="n"/>
      <x:c r="D70" s="87" t="n"/>
      <x:c r="E70" s="87" t="n"/>
      <x:c r="F70" s="87" t="n"/>
      <x:c r="G70" s="87" t="n"/>
      <x:c r="H70" s="87" t="n"/>
      <x:c r="I70" s="87" t="n"/>
      <x:c r="J70" s="87" t="n"/>
      <x:c r="K70" s="87" t="n"/>
      <x:c r="L70" s="87" t="n"/>
      <x:c r="M70" s="87" t="n"/>
      <x:c r="N70" s="87" t="n"/>
      <x:c r="O70" s="62" t="str">
        <x:f>IF(G70="","",IF(G70="Single",AH70,IF(G70="Double",AI70,AJ70)))</x:f>
      </x:c>
      <x:c r="P70" s="62" t="str">
        <x:f>IF(OR(G70="",H70="Ikke spillet"),"",IF(G70="Single",O70,IF(J70="","",(O70+J70)/2)))</x:f>
      </x:c>
      <x:c r="Q70" s="62" t="str">
        <x:f>IF(OR(G70="",H70="Ikke spillet"),"",IF(G70="Single",L70,IF(OR(L70="",N70=""),"",(L70+N70)/2)))</x:f>
      </x:c>
      <x:c r="R70" s="62" t="str">
        <x:f>IF(OR(P70="",Q70=""),"",Q70-P70)</x:f>
      </x:c>
      <x:c r="S70" s="62" t="str">
        <x:f>IF(H70="Ikke spillet","",IF(R70="","",IF(ABS(R70)&lt;0.000001,"Lige (0)",VLOOKUP(ABS(R70),'BD Pointtabel'!$A$4:$G$15,2,TRUE))))</x:f>
      </x:c>
      <x:c r="T70" s="62" t="str">
        <x:f>IF(H70="Ikke spillet","Ikke spillet",IF(H70="Planlagt","Planlagt",IF(OR(H70="",P70="",Q70=""),"",IF(H70="Vundet",IF(R70&gt;0,"Uventet sejr","Ventet sejr"),IF(R70&gt;=0,"Ventet nederlag","Uventet nederlag")))))</x:f>
      </x:c>
      <x:c r="U70" s="62" t="str">
        <x:f>IF(OR(H70="Ikke spillet",H70="Planlagt"),"",IF(OR(G70="",H70="",P70="",Q70=""),"",IF(AND(F70="Ungdomsholdturnering",OR(G70="Double",G70="Mix"),H70="Tabt"),0,IF(H70="Vundet",IF(R70&gt;0,VLOOKUP(ABS(R70),'BD Pointtabel'!$A$4:$G$15,4,TRUE),VLOOKUP(ABS(R70),'BD Pointtabel'!$A$4:$G$15,7,TRUE)),IF(R70&gt;=0,VLOOKUP(ABS(R70),'BD Pointtabel'!$A$4:$G$15,6,TRUE),VLOOKUP(ABS(R70),'BD Pointtabel'!$A$4:$G$15,3,TRUE))))))</x:f>
      </x:c>
      <x:c r="V70" s="62" t="str">
        <x:f>IF(G70="","",SUMIFS($U$10:U70,$AG$10:AG70,AG70,$G$10:G70,G70))</x:f>
      </x:c>
      <x:c r="W70" s="62" t="str">
        <x:f>IF(C70="","",IF(AN70&lt;&gt;1,"",IF(G70="Single",AA70,IF(G70="Double",AC70,AE70))))</x:f>
      </x:c>
      <x:c r="X70" s="62" t="str">
        <x:f>IF(C70="","",IF(AN70&lt;&gt;1,"",ROUND(((AA70*AB70+AC70*AD70+AE70*AF70)/(AB70+AD70+AF70))+IF((MAX(AA70,AC70,AE70)-(AA70+AC70+AE70-MAX(AA70,AC70,AE70)-MIN(AA70,AC70,AE70)))&lt;'Model &amp; indstillinger'!$E$16,'Model &amp; indstillinger'!$E$18,'Model &amp; indstillinger'!$E$20)*(MAX(AA70,AC70,AE70)-((AA70*AB70+AC70*AD70+AE70*AF70)/(AB70+AD70+AF70))),0)))</x:f>
      </x:c>
      <x:c r="Y70" s="62" t="str">
        <x:f>IF(X70="","",'Model &amp; indstillinger'!$B$4-X70)</x:f>
      </x:c>
      <x:c r="Z70" s="62" t="str">
        <x:f>IF(C70="","",IF(H70="Planlagt","Planlagt – ingen point endnu",IF(H70="Ikke spillet","Ikke spillet – tæller ikke som kamp og giver ingen point",IF(AN70=1,"STÆVNE SLUT – samlet point tilskrives","Frosset pointgrundlag – ingen tilskrivning endnu"))))</x:f>
      </x:c>
      <x:c r="AA70" s="60" t="str">
        <x:f>IF(C70="","",'Model &amp; indstillinger'!$B$6+SUMIFS($U$10:U70,$G$10:G70,"Single"))</x:f>
      </x:c>
      <x:c r="AB70" s="60" t="str">
        <x:f>IF(C70="","",'Model &amp; indstillinger'!$B$7+COUNTIFS($G$10:G70,"Single",$AK$10:AK70,1))</x:f>
      </x:c>
      <x:c r="AC70" s="60" t="str">
        <x:f>IF(C70="","",'Model &amp; indstillinger'!$B$8+SUMIFS($U$10:U70,$G$10:G70,"Double"))</x:f>
      </x:c>
      <x:c r="AD70" s="60" t="str">
        <x:f>IF(C70="","",'Model &amp; indstillinger'!$B$9+COUNTIFS($G$10:G70,"Double",$AK$10:AK70,1))</x:f>
      </x:c>
      <x:c r="AE70" s="60" t="str">
        <x:f>IF(C70="","",'Model &amp; indstillinger'!$B$10+SUMIFS($U$10:U70,$G$10:G70,"Mix"))</x:f>
      </x:c>
      <x:c r="AF70" s="60" t="str">
        <x:f>IF(C70="","",'Model &amp; indstillinger'!$B$11+COUNTIFS($G$10:G70,"Mix",$AK$10:AK70,1))</x:f>
      </x:c>
      <x:c r="AG70" s="60" t="str">
        <x:f>IF(C70="","",IF(C70=C69,AG69,AG69+1))</x:f>
      </x:c>
      <x:c r="AH70" s="60" t="str">
        <x:f>IF(C70="","",IF(AG70=AG69,AH69,AA69))</x:f>
      </x:c>
      <x:c r="AI70" s="60" t="str">
        <x:f>IF(C70="","",IF(AG70=AG69,AI69,AC69))</x:f>
      </x:c>
      <x:c r="AJ70" s="60" t="str">
        <x:f>IF(C70="","",IF(AG70=AG69,AJ69,AE69))</x:f>
      </x:c>
      <x:c r="AK70" s="60" t="n">
        <x:f>IF(OR(H70="Vundet",H70="Tabt"),1,0)</x:f>
        <x:v>0</x:v>
      </x:c>
      <x:c r="AL70" s="60" t="n"/>
      <x:c r="AM70" s="60" t="n">
        <x:f>MAX($AG$10:$AG$209)</x:f>
        <x:v>4</x:v>
      </x:c>
      <x:c r="AN70" s="60" t="str">
        <x:f>IF(C70="","",IF(AND(C71&lt;&gt;"",C71&lt;&gt;C70),1,0))</x:f>
      </x:c>
      <x:c r="AO70" s="60" t="n"/>
      <x:c r="AP70" s="60" t="n">
        <x:f>MAX($AG$10:$AG$209)</x:f>
        <x:v>4</x:v>
      </x:c>
      <x:c r="AQ70" t="str">
        <x:f>AG70</x:f>
      </x:c>
      <x:c r="AR70" t="n">
        <x:f>C70</x:f>
        <x:v>0</x:v>
      </x:c>
      <x:c r="AS70" t="n">
        <x:f>E70</x:f>
        <x:v>0</x:v>
      </x:c>
    </x:row>
    <x:row r="71">
      <x:c r="A71" s="60" t="str">
        <x:f>IF(C71="","",COUNTIF($C$10:C71,"&lt;&gt;"))</x:f>
      </x:c>
      <x:c r="B71" s="122" t="n"/>
      <x:c r="C71" s="87" t="n"/>
      <x:c r="D71" s="87" t="n"/>
      <x:c r="E71" s="87" t="n"/>
      <x:c r="F71" s="87" t="n"/>
      <x:c r="G71" s="87" t="n"/>
      <x:c r="H71" s="87" t="n"/>
      <x:c r="I71" s="87" t="n"/>
      <x:c r="J71" s="87" t="n"/>
      <x:c r="K71" s="87" t="n"/>
      <x:c r="L71" s="87" t="n"/>
      <x:c r="M71" s="87" t="n"/>
      <x:c r="N71" s="87" t="n"/>
      <x:c r="O71" s="62" t="str">
        <x:f>IF(G71="","",IF(G71="Single",AH71,IF(G71="Double",AI71,AJ71)))</x:f>
      </x:c>
      <x:c r="P71" s="62" t="str">
        <x:f>IF(OR(G71="",H71="Ikke spillet"),"",IF(G71="Single",O71,IF(J71="","",(O71+J71)/2)))</x:f>
      </x:c>
      <x:c r="Q71" s="62" t="str">
        <x:f>IF(OR(G71="",H71="Ikke spillet"),"",IF(G71="Single",L71,IF(OR(L71="",N71=""),"",(L71+N71)/2)))</x:f>
      </x:c>
      <x:c r="R71" s="62" t="str">
        <x:f>IF(OR(P71="",Q71=""),"",Q71-P71)</x:f>
      </x:c>
      <x:c r="S71" s="62" t="str">
        <x:f>IF(H71="Ikke spillet","",IF(R71="","",IF(ABS(R71)&lt;0.000001,"Lige (0)",VLOOKUP(ABS(R71),'BD Pointtabel'!$A$4:$G$15,2,TRUE))))</x:f>
      </x:c>
      <x:c r="T71" s="62" t="str">
        <x:f>IF(H71="Ikke spillet","Ikke spillet",IF(H71="Planlagt","Planlagt",IF(OR(H71="",P71="",Q71=""),"",IF(H71="Vundet",IF(R71&gt;0,"Uventet sejr","Ventet sejr"),IF(R71&gt;=0,"Ventet nederlag","Uventet nederlag")))))</x:f>
      </x:c>
      <x:c r="U71" s="62" t="str">
        <x:f>IF(OR(H71="Ikke spillet",H71="Planlagt"),"",IF(OR(G71="",H71="",P71="",Q71=""),"",IF(AND(F71="Ungdomsholdturnering",OR(G71="Double",G71="Mix"),H71="Tabt"),0,IF(H71="Vundet",IF(R71&gt;0,VLOOKUP(ABS(R71),'BD Pointtabel'!$A$4:$G$15,4,TRUE),VLOOKUP(ABS(R71),'BD Pointtabel'!$A$4:$G$15,7,TRUE)),IF(R71&gt;=0,VLOOKUP(ABS(R71),'BD Pointtabel'!$A$4:$G$15,6,TRUE),VLOOKUP(ABS(R71),'BD Pointtabel'!$A$4:$G$15,3,TRUE))))))</x:f>
      </x:c>
      <x:c r="V71" s="62" t="str">
        <x:f>IF(G71="","",SUMIFS($U$10:U71,$AG$10:AG71,AG71,$G$10:G71,G71))</x:f>
      </x:c>
      <x:c r="W71" s="62" t="str">
        <x:f>IF(C71="","",IF(AN71&lt;&gt;1,"",IF(G71="Single",AA71,IF(G71="Double",AC71,AE71))))</x:f>
      </x:c>
      <x:c r="X71" s="62" t="str">
        <x:f>IF(C71="","",IF(AN71&lt;&gt;1,"",ROUND(((AA71*AB71+AC71*AD71+AE71*AF71)/(AB71+AD71+AF71))+IF((MAX(AA71,AC71,AE71)-(AA71+AC71+AE71-MAX(AA71,AC71,AE71)-MIN(AA71,AC71,AE71)))&lt;'Model &amp; indstillinger'!$E$16,'Model &amp; indstillinger'!$E$18,'Model &amp; indstillinger'!$E$20)*(MAX(AA71,AC71,AE71)-((AA71*AB71+AC71*AD71+AE71*AF71)/(AB71+AD71+AF71))),0)))</x:f>
      </x:c>
      <x:c r="Y71" s="62" t="str">
        <x:f>IF(X71="","",'Model &amp; indstillinger'!$B$4-X71)</x:f>
      </x:c>
      <x:c r="Z71" s="62" t="str">
        <x:f>IF(C71="","",IF(H71="Planlagt","Planlagt – ingen point endnu",IF(H71="Ikke spillet","Ikke spillet – tæller ikke som kamp og giver ingen point",IF(AN71=1,"STÆVNE SLUT – samlet point tilskrives","Frosset pointgrundlag – ingen tilskrivning endnu"))))</x:f>
      </x:c>
      <x:c r="AA71" s="60" t="str">
        <x:f>IF(C71="","",'Model &amp; indstillinger'!$B$6+SUMIFS($U$10:U71,$G$10:G71,"Single"))</x:f>
      </x:c>
      <x:c r="AB71" s="60" t="str">
        <x:f>IF(C71="","",'Model &amp; indstillinger'!$B$7+COUNTIFS($G$10:G71,"Single",$AK$10:AK71,1))</x:f>
      </x:c>
      <x:c r="AC71" s="60" t="str">
        <x:f>IF(C71="","",'Model &amp; indstillinger'!$B$8+SUMIFS($U$10:U71,$G$10:G71,"Double"))</x:f>
      </x:c>
      <x:c r="AD71" s="60" t="str">
        <x:f>IF(C71="","",'Model &amp; indstillinger'!$B$9+COUNTIFS($G$10:G71,"Double",$AK$10:AK71,1))</x:f>
      </x:c>
      <x:c r="AE71" s="60" t="str">
        <x:f>IF(C71="","",'Model &amp; indstillinger'!$B$10+SUMIFS($U$10:U71,$G$10:G71,"Mix"))</x:f>
      </x:c>
      <x:c r="AF71" s="60" t="str">
        <x:f>IF(C71="","",'Model &amp; indstillinger'!$B$11+COUNTIFS($G$10:G71,"Mix",$AK$10:AK71,1))</x:f>
      </x:c>
      <x:c r="AG71" s="60" t="str">
        <x:f>IF(C71="","",IF(C71=C70,AG70,AG70+1))</x:f>
      </x:c>
      <x:c r="AH71" s="60" t="str">
        <x:f>IF(C71="","",IF(AG71=AG70,AH70,AA70))</x:f>
      </x:c>
      <x:c r="AI71" s="60" t="str">
        <x:f>IF(C71="","",IF(AG71=AG70,AI70,AC70))</x:f>
      </x:c>
      <x:c r="AJ71" s="60" t="str">
        <x:f>IF(C71="","",IF(AG71=AG70,AJ70,AE70))</x:f>
      </x:c>
      <x:c r="AK71" s="60" t="n">
        <x:f>IF(OR(H71="Vundet",H71="Tabt"),1,0)</x:f>
        <x:v>0</x:v>
      </x:c>
      <x:c r="AL71" s="60" t="n"/>
      <x:c r="AM71" s="60" t="n">
        <x:f>MAX($AG$10:$AG$209)</x:f>
        <x:v>4</x:v>
      </x:c>
      <x:c r="AN71" s="60" t="str">
        <x:f>IF(C71="","",IF(AND(C72&lt;&gt;"",C72&lt;&gt;C71),1,0))</x:f>
      </x:c>
      <x:c r="AO71" s="60" t="n"/>
      <x:c r="AP71" s="60" t="n">
        <x:f>MAX($AG$10:$AG$209)</x:f>
        <x:v>4</x:v>
      </x:c>
      <x:c r="AQ71" t="str">
        <x:f>AG71</x:f>
      </x:c>
      <x:c r="AR71" t="n">
        <x:f>C71</x:f>
        <x:v>0</x:v>
      </x:c>
      <x:c r="AS71" t="n">
        <x:f>E71</x:f>
        <x:v>0</x:v>
      </x:c>
    </x:row>
    <x:row r="72">
      <x:c r="A72" s="60" t="str">
        <x:f>IF(C72="","",COUNTIF($C$10:C72,"&lt;&gt;"))</x:f>
      </x:c>
      <x:c r="B72" s="122" t="n"/>
      <x:c r="C72" s="87" t="n"/>
      <x:c r="D72" s="87" t="n"/>
      <x:c r="E72" s="87" t="n"/>
      <x:c r="F72" s="87" t="n"/>
      <x:c r="G72" s="87" t="n"/>
      <x:c r="H72" s="87" t="n"/>
      <x:c r="I72" s="87" t="n"/>
      <x:c r="J72" s="87" t="n"/>
      <x:c r="K72" s="87" t="n"/>
      <x:c r="L72" s="87" t="n"/>
      <x:c r="M72" s="87" t="n"/>
      <x:c r="N72" s="87" t="n"/>
      <x:c r="O72" s="62" t="str">
        <x:f>IF(G72="","",IF(G72="Single",AH72,IF(G72="Double",AI72,AJ72)))</x:f>
      </x:c>
      <x:c r="P72" s="62" t="str">
        <x:f>IF(OR(G72="",H72="Ikke spillet"),"",IF(G72="Single",O72,IF(J72="","",(O72+J72)/2)))</x:f>
      </x:c>
      <x:c r="Q72" s="62" t="str">
        <x:f>IF(OR(G72="",H72="Ikke spillet"),"",IF(G72="Single",L72,IF(OR(L72="",N72=""),"",(L72+N72)/2)))</x:f>
      </x:c>
      <x:c r="R72" s="62" t="str">
        <x:f>IF(OR(P72="",Q72=""),"",Q72-P72)</x:f>
      </x:c>
      <x:c r="S72" s="62" t="str">
        <x:f>IF(H72="Ikke spillet","",IF(R72="","",IF(ABS(R72)&lt;0.000001,"Lige (0)",VLOOKUP(ABS(R72),'BD Pointtabel'!$A$4:$G$15,2,TRUE))))</x:f>
      </x:c>
      <x:c r="T72" s="62" t="str">
        <x:f>IF(H72="Ikke spillet","Ikke spillet",IF(H72="Planlagt","Planlagt",IF(OR(H72="",P72="",Q72=""),"",IF(H72="Vundet",IF(R72&gt;0,"Uventet sejr","Ventet sejr"),IF(R72&gt;=0,"Ventet nederlag","Uventet nederlag")))))</x:f>
      </x:c>
      <x:c r="U72" s="62" t="str">
        <x:f>IF(OR(H72="Ikke spillet",H72="Planlagt"),"",IF(OR(G72="",H72="",P72="",Q72=""),"",IF(AND(F72="Ungdomsholdturnering",OR(G72="Double",G72="Mix"),H72="Tabt"),0,IF(H72="Vundet",IF(R72&gt;0,VLOOKUP(ABS(R72),'BD Pointtabel'!$A$4:$G$15,4,TRUE),VLOOKUP(ABS(R72),'BD Pointtabel'!$A$4:$G$15,7,TRUE)),IF(R72&gt;=0,VLOOKUP(ABS(R72),'BD Pointtabel'!$A$4:$G$15,6,TRUE),VLOOKUP(ABS(R72),'BD Pointtabel'!$A$4:$G$15,3,TRUE))))))</x:f>
      </x:c>
      <x:c r="V72" s="62" t="str">
        <x:f>IF(G72="","",SUMIFS($U$10:U72,$AG$10:AG72,AG72,$G$10:G72,G72))</x:f>
      </x:c>
      <x:c r="W72" s="62" t="str">
        <x:f>IF(C72="","",IF(AN72&lt;&gt;1,"",IF(G72="Single",AA72,IF(G72="Double",AC72,AE72))))</x:f>
      </x:c>
      <x:c r="X72" s="62" t="str">
        <x:f>IF(C72="","",IF(AN72&lt;&gt;1,"",ROUND(((AA72*AB72+AC72*AD72+AE72*AF72)/(AB72+AD72+AF72))+IF((MAX(AA72,AC72,AE72)-(AA72+AC72+AE72-MAX(AA72,AC72,AE72)-MIN(AA72,AC72,AE72)))&lt;'Model &amp; indstillinger'!$E$16,'Model &amp; indstillinger'!$E$18,'Model &amp; indstillinger'!$E$20)*(MAX(AA72,AC72,AE72)-((AA72*AB72+AC72*AD72+AE72*AF72)/(AB72+AD72+AF72))),0)))</x:f>
      </x:c>
      <x:c r="Y72" s="62" t="str">
        <x:f>IF(X72="","",'Model &amp; indstillinger'!$B$4-X72)</x:f>
      </x:c>
      <x:c r="Z72" s="62" t="str">
        <x:f>IF(C72="","",IF(H72="Planlagt","Planlagt – ingen point endnu",IF(H72="Ikke spillet","Ikke spillet – tæller ikke som kamp og giver ingen point",IF(AN72=1,"STÆVNE SLUT – samlet point tilskrives","Frosset pointgrundlag – ingen tilskrivning endnu"))))</x:f>
      </x:c>
      <x:c r="AA72" s="60" t="str">
        <x:f>IF(C72="","",'Model &amp; indstillinger'!$B$6+SUMIFS($U$10:U72,$G$10:G72,"Single"))</x:f>
      </x:c>
      <x:c r="AB72" s="60" t="str">
        <x:f>IF(C72="","",'Model &amp; indstillinger'!$B$7+COUNTIFS($G$10:G72,"Single",$AK$10:AK72,1))</x:f>
      </x:c>
      <x:c r="AC72" s="60" t="str">
        <x:f>IF(C72="","",'Model &amp; indstillinger'!$B$8+SUMIFS($U$10:U72,$G$10:G72,"Double"))</x:f>
      </x:c>
      <x:c r="AD72" s="60" t="str">
        <x:f>IF(C72="","",'Model &amp; indstillinger'!$B$9+COUNTIFS($G$10:G72,"Double",$AK$10:AK72,1))</x:f>
      </x:c>
      <x:c r="AE72" s="60" t="str">
        <x:f>IF(C72="","",'Model &amp; indstillinger'!$B$10+SUMIFS($U$10:U72,$G$10:G72,"Mix"))</x:f>
      </x:c>
      <x:c r="AF72" s="60" t="str">
        <x:f>IF(C72="","",'Model &amp; indstillinger'!$B$11+COUNTIFS($G$10:G72,"Mix",$AK$10:AK72,1))</x:f>
      </x:c>
      <x:c r="AG72" s="60" t="str">
        <x:f>IF(C72="","",IF(C72=C71,AG71,AG71+1))</x:f>
      </x:c>
      <x:c r="AH72" s="60" t="str">
        <x:f>IF(C72="","",IF(AG72=AG71,AH71,AA71))</x:f>
      </x:c>
      <x:c r="AI72" s="60" t="str">
        <x:f>IF(C72="","",IF(AG72=AG71,AI71,AC71))</x:f>
      </x:c>
      <x:c r="AJ72" s="60" t="str">
        <x:f>IF(C72="","",IF(AG72=AG71,AJ71,AE71))</x:f>
      </x:c>
      <x:c r="AK72" s="60" t="n">
        <x:f>IF(OR(H72="Vundet",H72="Tabt"),1,0)</x:f>
        <x:v>0</x:v>
      </x:c>
      <x:c r="AL72" s="60" t="n"/>
      <x:c r="AM72" s="60" t="n">
        <x:f>MAX($AG$10:$AG$209)</x:f>
        <x:v>4</x:v>
      </x:c>
      <x:c r="AN72" s="60" t="str">
        <x:f>IF(C72="","",IF(AND(C73&lt;&gt;"",C73&lt;&gt;C72),1,0))</x:f>
      </x:c>
      <x:c r="AO72" s="60" t="n"/>
      <x:c r="AP72" s="60" t="n">
        <x:f>MAX($AG$10:$AG$209)</x:f>
        <x:v>4</x:v>
      </x:c>
      <x:c r="AQ72" t="str">
        <x:f>AG72</x:f>
      </x:c>
      <x:c r="AR72" t="n">
        <x:f>C72</x:f>
        <x:v>0</x:v>
      </x:c>
      <x:c r="AS72" t="n">
        <x:f>E72</x:f>
        <x:v>0</x:v>
      </x:c>
    </x:row>
    <x:row r="73">
      <x:c r="A73" s="60" t="str">
        <x:f>IF(C73="","",COUNTIF($C$10:C73,"&lt;&gt;"))</x:f>
      </x:c>
      <x:c r="B73" s="122" t="n"/>
      <x:c r="C73" s="87" t="n"/>
      <x:c r="D73" s="87" t="n"/>
      <x:c r="E73" s="87" t="n"/>
      <x:c r="F73" s="87" t="n"/>
      <x:c r="G73" s="87" t="n"/>
      <x:c r="H73" s="87" t="n"/>
      <x:c r="I73" s="87" t="n"/>
      <x:c r="J73" s="87" t="n"/>
      <x:c r="K73" s="87" t="n"/>
      <x:c r="L73" s="87" t="n"/>
      <x:c r="M73" s="87" t="n"/>
      <x:c r="N73" s="87" t="n"/>
      <x:c r="O73" s="62" t="str">
        <x:f>IF(G73="","",IF(G73="Single",AH73,IF(G73="Double",AI73,AJ73)))</x:f>
      </x:c>
      <x:c r="P73" s="62" t="str">
        <x:f>IF(OR(G73="",H73="Ikke spillet"),"",IF(G73="Single",O73,IF(J73="","",(O73+J73)/2)))</x:f>
      </x:c>
      <x:c r="Q73" s="62" t="str">
        <x:f>IF(OR(G73="",H73="Ikke spillet"),"",IF(G73="Single",L73,IF(OR(L73="",N73=""),"",(L73+N73)/2)))</x:f>
      </x:c>
      <x:c r="R73" s="62" t="str">
        <x:f>IF(OR(P73="",Q73=""),"",Q73-P73)</x:f>
      </x:c>
      <x:c r="S73" s="62" t="str">
        <x:f>IF(H73="Ikke spillet","",IF(R73="","",IF(ABS(R73)&lt;0.000001,"Lige (0)",VLOOKUP(ABS(R73),'BD Pointtabel'!$A$4:$G$15,2,TRUE))))</x:f>
      </x:c>
      <x:c r="T73" s="62" t="str">
        <x:f>IF(H73="Ikke spillet","Ikke spillet",IF(H73="Planlagt","Planlagt",IF(OR(H73="",P73="",Q73=""),"",IF(H73="Vundet",IF(R73&gt;0,"Uventet sejr","Ventet sejr"),IF(R73&gt;=0,"Ventet nederlag","Uventet nederlag")))))</x:f>
      </x:c>
      <x:c r="U73" s="62" t="str">
        <x:f>IF(OR(H73="Ikke spillet",H73="Planlagt"),"",IF(OR(G73="",H73="",P73="",Q73=""),"",IF(AND(F73="Ungdomsholdturnering",OR(G73="Double",G73="Mix"),H73="Tabt"),0,IF(H73="Vundet",IF(R73&gt;0,VLOOKUP(ABS(R73),'BD Pointtabel'!$A$4:$G$15,4,TRUE),VLOOKUP(ABS(R73),'BD Pointtabel'!$A$4:$G$15,7,TRUE)),IF(R73&gt;=0,VLOOKUP(ABS(R73),'BD Pointtabel'!$A$4:$G$15,6,TRUE),VLOOKUP(ABS(R73),'BD Pointtabel'!$A$4:$G$15,3,TRUE))))))</x:f>
      </x:c>
      <x:c r="V73" s="62" t="str">
        <x:f>IF(G73="","",SUMIFS($U$10:U73,$AG$10:AG73,AG73,$G$10:G73,G73))</x:f>
      </x:c>
      <x:c r="W73" s="62" t="str">
        <x:f>IF(C73="","",IF(AN73&lt;&gt;1,"",IF(G73="Single",AA73,IF(G73="Double",AC73,AE73))))</x:f>
      </x:c>
      <x:c r="X73" s="62" t="str">
        <x:f>IF(C73="","",IF(AN73&lt;&gt;1,"",ROUND(((AA73*AB73+AC73*AD73+AE73*AF73)/(AB73+AD73+AF73))+IF((MAX(AA73,AC73,AE73)-(AA73+AC73+AE73-MAX(AA73,AC73,AE73)-MIN(AA73,AC73,AE73)))&lt;'Model &amp; indstillinger'!$E$16,'Model &amp; indstillinger'!$E$18,'Model &amp; indstillinger'!$E$20)*(MAX(AA73,AC73,AE73)-((AA73*AB73+AC73*AD73+AE73*AF73)/(AB73+AD73+AF73))),0)))</x:f>
      </x:c>
      <x:c r="Y73" s="62" t="str">
        <x:f>IF(X73="","",'Model &amp; indstillinger'!$B$4-X73)</x:f>
      </x:c>
      <x:c r="Z73" s="62" t="str">
        <x:f>IF(C73="","",IF(H73="Planlagt","Planlagt – ingen point endnu",IF(H73="Ikke spillet","Ikke spillet – tæller ikke som kamp og giver ingen point",IF(AN73=1,"STÆVNE SLUT – samlet point tilskrives","Frosset pointgrundlag – ingen tilskrivning endnu"))))</x:f>
      </x:c>
      <x:c r="AA73" s="60" t="str">
        <x:f>IF(C73="","",'Model &amp; indstillinger'!$B$6+SUMIFS($U$10:U73,$G$10:G73,"Single"))</x:f>
      </x:c>
      <x:c r="AB73" s="60" t="str">
        <x:f>IF(C73="","",'Model &amp; indstillinger'!$B$7+COUNTIFS($G$10:G73,"Single",$AK$10:AK73,1))</x:f>
      </x:c>
      <x:c r="AC73" s="60" t="str">
        <x:f>IF(C73="","",'Model &amp; indstillinger'!$B$8+SUMIFS($U$10:U73,$G$10:G73,"Double"))</x:f>
      </x:c>
      <x:c r="AD73" s="60" t="str">
        <x:f>IF(C73="","",'Model &amp; indstillinger'!$B$9+COUNTIFS($G$10:G73,"Double",$AK$10:AK73,1))</x:f>
      </x:c>
      <x:c r="AE73" s="60" t="str">
        <x:f>IF(C73="","",'Model &amp; indstillinger'!$B$10+SUMIFS($U$10:U73,$G$10:G73,"Mix"))</x:f>
      </x:c>
      <x:c r="AF73" s="60" t="str">
        <x:f>IF(C73="","",'Model &amp; indstillinger'!$B$11+COUNTIFS($G$10:G73,"Mix",$AK$10:AK73,1))</x:f>
      </x:c>
      <x:c r="AG73" s="60" t="str">
        <x:f>IF(C73="","",IF(C73=C72,AG72,AG72+1))</x:f>
      </x:c>
      <x:c r="AH73" s="60" t="str">
        <x:f>IF(C73="","",IF(AG73=AG72,AH72,AA72))</x:f>
      </x:c>
      <x:c r="AI73" s="60" t="str">
        <x:f>IF(C73="","",IF(AG73=AG72,AI72,AC72))</x:f>
      </x:c>
      <x:c r="AJ73" s="60" t="str">
        <x:f>IF(C73="","",IF(AG73=AG72,AJ72,AE72))</x:f>
      </x:c>
      <x:c r="AK73" s="60" t="n">
        <x:f>IF(OR(H73="Vundet",H73="Tabt"),1,0)</x:f>
        <x:v>0</x:v>
      </x:c>
      <x:c r="AL73" s="60" t="n"/>
      <x:c r="AM73" s="60" t="n">
        <x:f>MAX($AG$10:$AG$209)</x:f>
        <x:v>4</x:v>
      </x:c>
      <x:c r="AN73" s="60" t="str">
        <x:f>IF(C73="","",IF(AND(C74&lt;&gt;"",C74&lt;&gt;C73),1,0))</x:f>
      </x:c>
      <x:c r="AO73" s="60" t="n"/>
      <x:c r="AP73" s="60" t="n">
        <x:f>MAX($AG$10:$AG$209)</x:f>
        <x:v>4</x:v>
      </x:c>
      <x:c r="AQ73" t="str">
        <x:f>AG73</x:f>
      </x:c>
      <x:c r="AR73" t="n">
        <x:f>C73</x:f>
        <x:v>0</x:v>
      </x:c>
      <x:c r="AS73" t="n">
        <x:f>E73</x:f>
        <x:v>0</x:v>
      </x:c>
    </x:row>
    <x:row r="74">
      <x:c r="A74" s="60" t="str">
        <x:f>IF(C74="","",COUNTIF($C$10:C74,"&lt;&gt;"))</x:f>
      </x:c>
      <x:c r="B74" s="122" t="n"/>
      <x:c r="C74" s="87" t="n"/>
      <x:c r="D74" s="87" t="n"/>
      <x:c r="E74" s="87" t="n"/>
      <x:c r="F74" s="87" t="n"/>
      <x:c r="G74" s="87" t="n"/>
      <x:c r="H74" s="87" t="n"/>
      <x:c r="I74" s="87" t="n"/>
      <x:c r="J74" s="87" t="n"/>
      <x:c r="K74" s="87" t="n"/>
      <x:c r="L74" s="87" t="n"/>
      <x:c r="M74" s="87" t="n"/>
      <x:c r="N74" s="87" t="n"/>
      <x:c r="O74" s="62" t="str">
        <x:f>IF(G74="","",IF(G74="Single",AH74,IF(G74="Double",AI74,AJ74)))</x:f>
      </x:c>
      <x:c r="P74" s="62" t="str">
        <x:f>IF(OR(G74="",H74="Ikke spillet"),"",IF(G74="Single",O74,IF(J74="","",(O74+J74)/2)))</x:f>
      </x:c>
      <x:c r="Q74" s="62" t="str">
        <x:f>IF(OR(G74="",H74="Ikke spillet"),"",IF(G74="Single",L74,IF(OR(L74="",N74=""),"",(L74+N74)/2)))</x:f>
      </x:c>
      <x:c r="R74" s="62" t="str">
        <x:f>IF(OR(P74="",Q74=""),"",Q74-P74)</x:f>
      </x:c>
      <x:c r="S74" s="62" t="str">
        <x:f>IF(H74="Ikke spillet","",IF(R74="","",IF(ABS(R74)&lt;0.000001,"Lige (0)",VLOOKUP(ABS(R74),'BD Pointtabel'!$A$4:$G$15,2,TRUE))))</x:f>
      </x:c>
      <x:c r="T74" s="62" t="str">
        <x:f>IF(H74="Ikke spillet","Ikke spillet",IF(H74="Planlagt","Planlagt",IF(OR(H74="",P74="",Q74=""),"",IF(H74="Vundet",IF(R74&gt;0,"Uventet sejr","Ventet sejr"),IF(R74&gt;=0,"Ventet nederlag","Uventet nederlag")))))</x:f>
      </x:c>
      <x:c r="U74" s="62" t="str">
        <x:f>IF(OR(H74="Ikke spillet",H74="Planlagt"),"",IF(OR(G74="",H74="",P74="",Q74=""),"",IF(AND(F74="Ungdomsholdturnering",OR(G74="Double",G74="Mix"),H74="Tabt"),0,IF(H74="Vundet",IF(R74&gt;0,VLOOKUP(ABS(R74),'BD Pointtabel'!$A$4:$G$15,4,TRUE),VLOOKUP(ABS(R74),'BD Pointtabel'!$A$4:$G$15,7,TRUE)),IF(R74&gt;=0,VLOOKUP(ABS(R74),'BD Pointtabel'!$A$4:$G$15,6,TRUE),VLOOKUP(ABS(R74),'BD Pointtabel'!$A$4:$G$15,3,TRUE))))))</x:f>
      </x:c>
      <x:c r="V74" s="62" t="str">
        <x:f>IF(G74="","",SUMIFS($U$10:U74,$AG$10:AG74,AG74,$G$10:G74,G74))</x:f>
      </x:c>
      <x:c r="W74" s="62" t="str">
        <x:f>IF(C74="","",IF(AN74&lt;&gt;1,"",IF(G74="Single",AA74,IF(G74="Double",AC74,AE74))))</x:f>
      </x:c>
      <x:c r="X74" s="62" t="str">
        <x:f>IF(C74="","",IF(AN74&lt;&gt;1,"",ROUND(((AA74*AB74+AC74*AD74+AE74*AF74)/(AB74+AD74+AF74))+IF((MAX(AA74,AC74,AE74)-(AA74+AC74+AE74-MAX(AA74,AC74,AE74)-MIN(AA74,AC74,AE74)))&lt;'Model &amp; indstillinger'!$E$16,'Model &amp; indstillinger'!$E$18,'Model &amp; indstillinger'!$E$20)*(MAX(AA74,AC74,AE74)-((AA74*AB74+AC74*AD74+AE74*AF74)/(AB74+AD74+AF74))),0)))</x:f>
      </x:c>
      <x:c r="Y74" s="62" t="str">
        <x:f>IF(X74="","",'Model &amp; indstillinger'!$B$4-X74)</x:f>
      </x:c>
      <x:c r="Z74" s="62" t="str">
        <x:f>IF(C74="","",IF(H74="Planlagt","Planlagt – ingen point endnu",IF(H74="Ikke spillet","Ikke spillet – tæller ikke som kamp og giver ingen point",IF(AN74=1,"STÆVNE SLUT – samlet point tilskrives","Frosset pointgrundlag – ingen tilskrivning endnu"))))</x:f>
      </x:c>
      <x:c r="AA74" s="60" t="str">
        <x:f>IF(C74="","",'Model &amp; indstillinger'!$B$6+SUMIFS($U$10:U74,$G$10:G74,"Single"))</x:f>
      </x:c>
      <x:c r="AB74" s="60" t="str">
        <x:f>IF(C74="","",'Model &amp; indstillinger'!$B$7+COUNTIFS($G$10:G74,"Single",$AK$10:AK74,1))</x:f>
      </x:c>
      <x:c r="AC74" s="60" t="str">
        <x:f>IF(C74="","",'Model &amp; indstillinger'!$B$8+SUMIFS($U$10:U74,$G$10:G74,"Double"))</x:f>
      </x:c>
      <x:c r="AD74" s="60" t="str">
        <x:f>IF(C74="","",'Model &amp; indstillinger'!$B$9+COUNTIFS($G$10:G74,"Double",$AK$10:AK74,1))</x:f>
      </x:c>
      <x:c r="AE74" s="60" t="str">
        <x:f>IF(C74="","",'Model &amp; indstillinger'!$B$10+SUMIFS($U$10:U74,$G$10:G74,"Mix"))</x:f>
      </x:c>
      <x:c r="AF74" s="60" t="str">
        <x:f>IF(C74="","",'Model &amp; indstillinger'!$B$11+COUNTIFS($G$10:G74,"Mix",$AK$10:AK74,1))</x:f>
      </x:c>
      <x:c r="AG74" s="60" t="str">
        <x:f>IF(C74="","",IF(C74=C73,AG73,AG73+1))</x:f>
      </x:c>
      <x:c r="AH74" s="60" t="str">
        <x:f>IF(C74="","",IF(AG74=AG73,AH73,AA73))</x:f>
      </x:c>
      <x:c r="AI74" s="60" t="str">
        <x:f>IF(C74="","",IF(AG74=AG73,AI73,AC73))</x:f>
      </x:c>
      <x:c r="AJ74" s="60" t="str">
        <x:f>IF(C74="","",IF(AG74=AG73,AJ73,AE73))</x:f>
      </x:c>
      <x:c r="AK74" s="60" t="n">
        <x:f>IF(OR(H74="Vundet",H74="Tabt"),1,0)</x:f>
        <x:v>0</x:v>
      </x:c>
      <x:c r="AL74" s="60" t="n"/>
      <x:c r="AM74" s="60" t="n">
        <x:f>MAX($AG$10:$AG$209)</x:f>
        <x:v>4</x:v>
      </x:c>
      <x:c r="AN74" s="60" t="str">
        <x:f>IF(C74="","",IF(AND(C75&lt;&gt;"",C75&lt;&gt;C74),1,0))</x:f>
      </x:c>
      <x:c r="AO74" s="60" t="n"/>
      <x:c r="AP74" s="60" t="n">
        <x:f>MAX($AG$10:$AG$209)</x:f>
        <x:v>4</x:v>
      </x:c>
      <x:c r="AQ74" t="str">
        <x:f>AG74</x:f>
      </x:c>
      <x:c r="AR74" t="n">
        <x:f>C74</x:f>
        <x:v>0</x:v>
      </x:c>
      <x:c r="AS74" t="n">
        <x:f>E74</x:f>
        <x:v>0</x:v>
      </x:c>
    </x:row>
    <x:row r="75">
      <x:c r="A75" s="60" t="str">
        <x:f>IF(C75="","",COUNTIF($C$10:C75,"&lt;&gt;"))</x:f>
      </x:c>
      <x:c r="B75" s="122" t="n"/>
      <x:c r="C75" s="87" t="n"/>
      <x:c r="D75" s="87" t="n"/>
      <x:c r="E75" s="87" t="n"/>
      <x:c r="F75" s="87" t="n"/>
      <x:c r="G75" s="87" t="n"/>
      <x:c r="H75" s="87" t="n"/>
      <x:c r="I75" s="87" t="n"/>
      <x:c r="J75" s="87" t="n"/>
      <x:c r="K75" s="87" t="n"/>
      <x:c r="L75" s="87" t="n"/>
      <x:c r="M75" s="87" t="n"/>
      <x:c r="N75" s="87" t="n"/>
      <x:c r="O75" s="62" t="str">
        <x:f>IF(G75="","",IF(G75="Single",AH75,IF(G75="Double",AI75,AJ75)))</x:f>
      </x:c>
      <x:c r="P75" s="62" t="str">
        <x:f>IF(OR(G75="",H75="Ikke spillet"),"",IF(G75="Single",O75,IF(J75="","",(O75+J75)/2)))</x:f>
      </x:c>
      <x:c r="Q75" s="62" t="str">
        <x:f>IF(OR(G75="",H75="Ikke spillet"),"",IF(G75="Single",L75,IF(OR(L75="",N75=""),"",(L75+N75)/2)))</x:f>
      </x:c>
      <x:c r="R75" s="62" t="str">
        <x:f>IF(OR(P75="",Q75=""),"",Q75-P75)</x:f>
      </x:c>
      <x:c r="S75" s="62" t="str">
        <x:f>IF(H75="Ikke spillet","",IF(R75="","",IF(ABS(R75)&lt;0.000001,"Lige (0)",VLOOKUP(ABS(R75),'BD Pointtabel'!$A$4:$G$15,2,TRUE))))</x:f>
      </x:c>
      <x:c r="T75" s="62" t="str">
        <x:f>IF(H75="Ikke spillet","Ikke spillet",IF(H75="Planlagt","Planlagt",IF(OR(H75="",P75="",Q75=""),"",IF(H75="Vundet",IF(R75&gt;0,"Uventet sejr","Ventet sejr"),IF(R75&gt;=0,"Ventet nederlag","Uventet nederlag")))))</x:f>
      </x:c>
      <x:c r="U75" s="62" t="str">
        <x:f>IF(OR(H75="Ikke spillet",H75="Planlagt"),"",IF(OR(G75="",H75="",P75="",Q75=""),"",IF(AND(F75="Ungdomsholdturnering",OR(G75="Double",G75="Mix"),H75="Tabt"),0,IF(H75="Vundet",IF(R75&gt;0,VLOOKUP(ABS(R75),'BD Pointtabel'!$A$4:$G$15,4,TRUE),VLOOKUP(ABS(R75),'BD Pointtabel'!$A$4:$G$15,7,TRUE)),IF(R75&gt;=0,VLOOKUP(ABS(R75),'BD Pointtabel'!$A$4:$G$15,6,TRUE),VLOOKUP(ABS(R75),'BD Pointtabel'!$A$4:$G$15,3,TRUE))))))</x:f>
      </x:c>
      <x:c r="V75" s="62" t="str">
        <x:f>IF(G75="","",SUMIFS($U$10:U75,$AG$10:AG75,AG75,$G$10:G75,G75))</x:f>
      </x:c>
      <x:c r="W75" s="62" t="str">
        <x:f>IF(C75="","",IF(AN75&lt;&gt;1,"",IF(G75="Single",AA75,IF(G75="Double",AC75,AE75))))</x:f>
      </x:c>
      <x:c r="X75" s="62" t="str">
        <x:f>IF(C75="","",IF(AN75&lt;&gt;1,"",ROUND(((AA75*AB75+AC75*AD75+AE75*AF75)/(AB75+AD75+AF75))+IF((MAX(AA75,AC75,AE75)-(AA75+AC75+AE75-MAX(AA75,AC75,AE75)-MIN(AA75,AC75,AE75)))&lt;'Model &amp; indstillinger'!$E$16,'Model &amp; indstillinger'!$E$18,'Model &amp; indstillinger'!$E$20)*(MAX(AA75,AC75,AE75)-((AA75*AB75+AC75*AD75+AE75*AF75)/(AB75+AD75+AF75))),0)))</x:f>
      </x:c>
      <x:c r="Y75" s="62" t="str">
        <x:f>IF(X75="","",'Model &amp; indstillinger'!$B$4-X75)</x:f>
      </x:c>
      <x:c r="Z75" s="62" t="str">
        <x:f>IF(C75="","",IF(H75="Planlagt","Planlagt – ingen point endnu",IF(H75="Ikke spillet","Ikke spillet – tæller ikke som kamp og giver ingen point",IF(AN75=1,"STÆVNE SLUT – samlet point tilskrives","Frosset pointgrundlag – ingen tilskrivning endnu"))))</x:f>
      </x:c>
      <x:c r="AA75" s="60" t="str">
        <x:f>IF(C75="","",'Model &amp; indstillinger'!$B$6+SUMIFS($U$10:U75,$G$10:G75,"Single"))</x:f>
      </x:c>
      <x:c r="AB75" s="60" t="str">
        <x:f>IF(C75="","",'Model &amp; indstillinger'!$B$7+COUNTIFS($G$10:G75,"Single",$AK$10:AK75,1))</x:f>
      </x:c>
      <x:c r="AC75" s="60" t="str">
        <x:f>IF(C75="","",'Model &amp; indstillinger'!$B$8+SUMIFS($U$10:U75,$G$10:G75,"Double"))</x:f>
      </x:c>
      <x:c r="AD75" s="60" t="str">
        <x:f>IF(C75="","",'Model &amp; indstillinger'!$B$9+COUNTIFS($G$10:G75,"Double",$AK$10:AK75,1))</x:f>
      </x:c>
      <x:c r="AE75" s="60" t="str">
        <x:f>IF(C75="","",'Model &amp; indstillinger'!$B$10+SUMIFS($U$10:U75,$G$10:G75,"Mix"))</x:f>
      </x:c>
      <x:c r="AF75" s="60" t="str">
        <x:f>IF(C75="","",'Model &amp; indstillinger'!$B$11+COUNTIFS($G$10:G75,"Mix",$AK$10:AK75,1))</x:f>
      </x:c>
      <x:c r="AG75" s="60" t="str">
        <x:f>IF(C75="","",IF(C75=C74,AG74,AG74+1))</x:f>
      </x:c>
      <x:c r="AH75" s="60" t="str">
        <x:f>IF(C75="","",IF(AG75=AG74,AH74,AA74))</x:f>
      </x:c>
      <x:c r="AI75" s="60" t="str">
        <x:f>IF(C75="","",IF(AG75=AG74,AI74,AC74))</x:f>
      </x:c>
      <x:c r="AJ75" s="60" t="str">
        <x:f>IF(C75="","",IF(AG75=AG74,AJ74,AE74))</x:f>
      </x:c>
      <x:c r="AK75" s="60" t="n">
        <x:f>IF(OR(H75="Vundet",H75="Tabt"),1,0)</x:f>
        <x:v>0</x:v>
      </x:c>
      <x:c r="AL75" s="60" t="n"/>
      <x:c r="AM75" s="60" t="n">
        <x:f>MAX($AG$10:$AG$209)</x:f>
        <x:v>4</x:v>
      </x:c>
      <x:c r="AN75" s="60" t="str">
        <x:f>IF(C75="","",IF(AND(C76&lt;&gt;"",C76&lt;&gt;C75),1,0))</x:f>
      </x:c>
      <x:c r="AO75" s="60" t="n"/>
      <x:c r="AP75" s="60" t="n">
        <x:f>MAX($AG$10:$AG$209)</x:f>
        <x:v>4</x:v>
      </x:c>
      <x:c r="AQ75" t="str">
        <x:f>AG75</x:f>
      </x:c>
      <x:c r="AR75" t="n">
        <x:f>C75</x:f>
        <x:v>0</x:v>
      </x:c>
      <x:c r="AS75" t="n">
        <x:f>E75</x:f>
        <x:v>0</x:v>
      </x:c>
    </x:row>
    <x:row r="76">
      <x:c r="A76" s="60" t="str">
        <x:f>IF(C76="","",COUNTIF($C$10:C76,"&lt;&gt;"))</x:f>
      </x:c>
      <x:c r="B76" s="122" t="n"/>
      <x:c r="C76" s="87" t="n"/>
      <x:c r="D76" s="87" t="n"/>
      <x:c r="E76" s="87" t="n"/>
      <x:c r="F76" s="87" t="n"/>
      <x:c r="G76" s="87" t="n"/>
      <x:c r="H76" s="87" t="n"/>
      <x:c r="I76" s="87" t="n"/>
      <x:c r="J76" s="87" t="n"/>
      <x:c r="K76" s="87" t="n"/>
      <x:c r="L76" s="87" t="n"/>
      <x:c r="M76" s="87" t="n"/>
      <x:c r="N76" s="87" t="n"/>
      <x:c r="O76" s="62" t="str">
        <x:f>IF(G76="","",IF(G76="Single",AH76,IF(G76="Double",AI76,AJ76)))</x:f>
      </x:c>
      <x:c r="P76" s="62" t="str">
        <x:f>IF(OR(G76="",H76="Ikke spillet"),"",IF(G76="Single",O76,IF(J76="","",(O76+J76)/2)))</x:f>
      </x:c>
      <x:c r="Q76" s="62" t="str">
        <x:f>IF(OR(G76="",H76="Ikke spillet"),"",IF(G76="Single",L76,IF(OR(L76="",N76=""),"",(L76+N76)/2)))</x:f>
      </x:c>
      <x:c r="R76" s="62" t="str">
        <x:f>IF(OR(P76="",Q76=""),"",Q76-P76)</x:f>
      </x:c>
      <x:c r="S76" s="62" t="str">
        <x:f>IF(H76="Ikke spillet","",IF(R76="","",IF(ABS(R76)&lt;0.000001,"Lige (0)",VLOOKUP(ABS(R76),'BD Pointtabel'!$A$4:$G$15,2,TRUE))))</x:f>
      </x:c>
      <x:c r="T76" s="62" t="str">
        <x:f>IF(H76="Ikke spillet","Ikke spillet",IF(H76="Planlagt","Planlagt",IF(OR(H76="",P76="",Q76=""),"",IF(H76="Vundet",IF(R76&gt;0,"Uventet sejr","Ventet sejr"),IF(R76&gt;=0,"Ventet nederlag","Uventet nederlag")))))</x:f>
      </x:c>
      <x:c r="U76" s="62" t="str">
        <x:f>IF(OR(H76="Ikke spillet",H76="Planlagt"),"",IF(OR(G76="",H76="",P76="",Q76=""),"",IF(AND(F76="Ungdomsholdturnering",OR(G76="Double",G76="Mix"),H76="Tabt"),0,IF(H76="Vundet",IF(R76&gt;0,VLOOKUP(ABS(R76),'BD Pointtabel'!$A$4:$G$15,4,TRUE),VLOOKUP(ABS(R76),'BD Pointtabel'!$A$4:$G$15,7,TRUE)),IF(R76&gt;=0,VLOOKUP(ABS(R76),'BD Pointtabel'!$A$4:$G$15,6,TRUE),VLOOKUP(ABS(R76),'BD Pointtabel'!$A$4:$G$15,3,TRUE))))))</x:f>
      </x:c>
      <x:c r="V76" s="62" t="str">
        <x:f>IF(G76="","",SUMIFS($U$10:U76,$AG$10:AG76,AG76,$G$10:G76,G76))</x:f>
      </x:c>
      <x:c r="W76" s="62" t="str">
        <x:f>IF(C76="","",IF(AN76&lt;&gt;1,"",IF(G76="Single",AA76,IF(G76="Double",AC76,AE76))))</x:f>
      </x:c>
      <x:c r="X76" s="62" t="str">
        <x:f>IF(C76="","",IF(AN76&lt;&gt;1,"",ROUND(((AA76*AB76+AC76*AD76+AE76*AF76)/(AB76+AD76+AF76))+IF((MAX(AA76,AC76,AE76)-(AA76+AC76+AE76-MAX(AA76,AC76,AE76)-MIN(AA76,AC76,AE76)))&lt;'Model &amp; indstillinger'!$E$16,'Model &amp; indstillinger'!$E$18,'Model &amp; indstillinger'!$E$20)*(MAX(AA76,AC76,AE76)-((AA76*AB76+AC76*AD76+AE76*AF76)/(AB76+AD76+AF76))),0)))</x:f>
      </x:c>
      <x:c r="Y76" s="62" t="str">
        <x:f>IF(X76="","",'Model &amp; indstillinger'!$B$4-X76)</x:f>
      </x:c>
      <x:c r="Z76" s="62" t="str">
        <x:f>IF(C76="","",IF(H76="Planlagt","Planlagt – ingen point endnu",IF(H76="Ikke spillet","Ikke spillet – tæller ikke som kamp og giver ingen point",IF(AN76=1,"STÆVNE SLUT – samlet point tilskrives","Frosset pointgrundlag – ingen tilskrivning endnu"))))</x:f>
      </x:c>
      <x:c r="AA76" s="60" t="str">
        <x:f>IF(C76="","",'Model &amp; indstillinger'!$B$6+SUMIFS($U$10:U76,$G$10:G76,"Single"))</x:f>
      </x:c>
      <x:c r="AB76" s="60" t="str">
        <x:f>IF(C76="","",'Model &amp; indstillinger'!$B$7+COUNTIFS($G$10:G76,"Single",$AK$10:AK76,1))</x:f>
      </x:c>
      <x:c r="AC76" s="60" t="str">
        <x:f>IF(C76="","",'Model &amp; indstillinger'!$B$8+SUMIFS($U$10:U76,$G$10:G76,"Double"))</x:f>
      </x:c>
      <x:c r="AD76" s="60" t="str">
        <x:f>IF(C76="","",'Model &amp; indstillinger'!$B$9+COUNTIFS($G$10:G76,"Double",$AK$10:AK76,1))</x:f>
      </x:c>
      <x:c r="AE76" s="60" t="str">
        <x:f>IF(C76="","",'Model &amp; indstillinger'!$B$10+SUMIFS($U$10:U76,$G$10:G76,"Mix"))</x:f>
      </x:c>
      <x:c r="AF76" s="60" t="str">
        <x:f>IF(C76="","",'Model &amp; indstillinger'!$B$11+COUNTIFS($G$10:G76,"Mix",$AK$10:AK76,1))</x:f>
      </x:c>
      <x:c r="AG76" s="60" t="str">
        <x:f>IF(C76="","",IF(C76=C75,AG75,AG75+1))</x:f>
      </x:c>
      <x:c r="AH76" s="60" t="str">
        <x:f>IF(C76="","",IF(AG76=AG75,AH75,AA75))</x:f>
      </x:c>
      <x:c r="AI76" s="60" t="str">
        <x:f>IF(C76="","",IF(AG76=AG75,AI75,AC75))</x:f>
      </x:c>
      <x:c r="AJ76" s="60" t="str">
        <x:f>IF(C76="","",IF(AG76=AG75,AJ75,AE75))</x:f>
      </x:c>
      <x:c r="AK76" s="60" t="n">
        <x:f>IF(OR(H76="Vundet",H76="Tabt"),1,0)</x:f>
        <x:v>0</x:v>
      </x:c>
      <x:c r="AL76" s="60" t="n"/>
      <x:c r="AM76" s="60" t="n">
        <x:f>MAX($AG$10:$AG$209)</x:f>
        <x:v>4</x:v>
      </x:c>
      <x:c r="AN76" s="60" t="str">
        <x:f>IF(C76="","",IF(AND(C77&lt;&gt;"",C77&lt;&gt;C76),1,0))</x:f>
      </x:c>
      <x:c r="AO76" s="60" t="n"/>
      <x:c r="AP76" s="60" t="n">
        <x:f>MAX($AG$10:$AG$209)</x:f>
        <x:v>4</x:v>
      </x:c>
      <x:c r="AQ76" t="str">
        <x:f>AG76</x:f>
      </x:c>
      <x:c r="AR76" t="n">
        <x:f>C76</x:f>
        <x:v>0</x:v>
      </x:c>
      <x:c r="AS76" t="n">
        <x:f>E76</x:f>
        <x:v>0</x:v>
      </x:c>
    </x:row>
    <x:row r="77">
      <x:c r="A77" s="60" t="str">
        <x:f>IF(C77="","",COUNTIF($C$10:C77,"&lt;&gt;"))</x:f>
      </x:c>
      <x:c r="B77" s="122" t="n"/>
      <x:c r="C77" s="87" t="n"/>
      <x:c r="D77" s="87" t="n"/>
      <x:c r="E77" s="87" t="n"/>
      <x:c r="F77" s="87" t="n"/>
      <x:c r="G77" s="87" t="n"/>
      <x:c r="H77" s="87" t="n"/>
      <x:c r="I77" s="87" t="n"/>
      <x:c r="J77" s="87" t="n"/>
      <x:c r="K77" s="87" t="n"/>
      <x:c r="L77" s="87" t="n"/>
      <x:c r="M77" s="87" t="n"/>
      <x:c r="N77" s="87" t="n"/>
      <x:c r="O77" s="62" t="str">
        <x:f>IF(G77="","",IF(G77="Single",AH77,IF(G77="Double",AI77,AJ77)))</x:f>
      </x:c>
      <x:c r="P77" s="62" t="str">
        <x:f>IF(OR(G77="",H77="Ikke spillet"),"",IF(G77="Single",O77,IF(J77="","",(O77+J77)/2)))</x:f>
      </x:c>
      <x:c r="Q77" s="62" t="str">
        <x:f>IF(OR(G77="",H77="Ikke spillet"),"",IF(G77="Single",L77,IF(OR(L77="",N77=""),"",(L77+N77)/2)))</x:f>
      </x:c>
      <x:c r="R77" s="62" t="str">
        <x:f>IF(OR(P77="",Q77=""),"",Q77-P77)</x:f>
      </x:c>
      <x:c r="S77" s="62" t="str">
        <x:f>IF(H77="Ikke spillet","",IF(R77="","",IF(ABS(R77)&lt;0.000001,"Lige (0)",VLOOKUP(ABS(R77),'BD Pointtabel'!$A$4:$G$15,2,TRUE))))</x:f>
      </x:c>
      <x:c r="T77" s="62" t="str">
        <x:f>IF(H77="Ikke spillet","Ikke spillet",IF(H77="Planlagt","Planlagt",IF(OR(H77="",P77="",Q77=""),"",IF(H77="Vundet",IF(R77&gt;0,"Uventet sejr","Ventet sejr"),IF(R77&gt;=0,"Ventet nederlag","Uventet nederlag")))))</x:f>
      </x:c>
      <x:c r="U77" s="62" t="str">
        <x:f>IF(OR(H77="Ikke spillet",H77="Planlagt"),"",IF(OR(G77="",H77="",P77="",Q77=""),"",IF(AND(F77="Ungdomsholdturnering",OR(G77="Double",G77="Mix"),H77="Tabt"),0,IF(H77="Vundet",IF(R77&gt;0,VLOOKUP(ABS(R77),'BD Pointtabel'!$A$4:$G$15,4,TRUE),VLOOKUP(ABS(R77),'BD Pointtabel'!$A$4:$G$15,7,TRUE)),IF(R77&gt;=0,VLOOKUP(ABS(R77),'BD Pointtabel'!$A$4:$G$15,6,TRUE),VLOOKUP(ABS(R77),'BD Pointtabel'!$A$4:$G$15,3,TRUE))))))</x:f>
      </x:c>
      <x:c r="V77" s="62" t="str">
        <x:f>IF(G77="","",SUMIFS($U$10:U77,$AG$10:AG77,AG77,$G$10:G77,G77))</x:f>
      </x:c>
      <x:c r="W77" s="62" t="str">
        <x:f>IF(C77="","",IF(AN77&lt;&gt;1,"",IF(G77="Single",AA77,IF(G77="Double",AC77,AE77))))</x:f>
      </x:c>
      <x:c r="X77" s="62" t="str">
        <x:f>IF(C77="","",IF(AN77&lt;&gt;1,"",ROUND(((AA77*AB77+AC77*AD77+AE77*AF77)/(AB77+AD77+AF77))+IF((MAX(AA77,AC77,AE77)-(AA77+AC77+AE77-MAX(AA77,AC77,AE77)-MIN(AA77,AC77,AE77)))&lt;'Model &amp; indstillinger'!$E$16,'Model &amp; indstillinger'!$E$18,'Model &amp; indstillinger'!$E$20)*(MAX(AA77,AC77,AE77)-((AA77*AB77+AC77*AD77+AE77*AF77)/(AB77+AD77+AF77))),0)))</x:f>
      </x:c>
      <x:c r="Y77" s="62" t="str">
        <x:f>IF(X77="","",'Model &amp; indstillinger'!$B$4-X77)</x:f>
      </x:c>
      <x:c r="Z77" s="62" t="str">
        <x:f>IF(C77="","",IF(H77="Planlagt","Planlagt – ingen point endnu",IF(H77="Ikke spillet","Ikke spillet – tæller ikke som kamp og giver ingen point",IF(AN77=1,"STÆVNE SLUT – samlet point tilskrives","Frosset pointgrundlag – ingen tilskrivning endnu"))))</x:f>
      </x:c>
      <x:c r="AA77" s="60" t="str">
        <x:f>IF(C77="","",'Model &amp; indstillinger'!$B$6+SUMIFS($U$10:U77,$G$10:G77,"Single"))</x:f>
      </x:c>
      <x:c r="AB77" s="60" t="str">
        <x:f>IF(C77="","",'Model &amp; indstillinger'!$B$7+COUNTIFS($G$10:G77,"Single",$AK$10:AK77,1))</x:f>
      </x:c>
      <x:c r="AC77" s="60" t="str">
        <x:f>IF(C77="","",'Model &amp; indstillinger'!$B$8+SUMIFS($U$10:U77,$G$10:G77,"Double"))</x:f>
      </x:c>
      <x:c r="AD77" s="60" t="str">
        <x:f>IF(C77="","",'Model &amp; indstillinger'!$B$9+COUNTIFS($G$10:G77,"Double",$AK$10:AK77,1))</x:f>
      </x:c>
      <x:c r="AE77" s="60" t="str">
        <x:f>IF(C77="","",'Model &amp; indstillinger'!$B$10+SUMIFS($U$10:U77,$G$10:G77,"Mix"))</x:f>
      </x:c>
      <x:c r="AF77" s="60" t="str">
        <x:f>IF(C77="","",'Model &amp; indstillinger'!$B$11+COUNTIFS($G$10:G77,"Mix",$AK$10:AK77,1))</x:f>
      </x:c>
      <x:c r="AG77" s="60" t="str">
        <x:f>IF(C77="","",IF(C77=C76,AG76,AG76+1))</x:f>
      </x:c>
      <x:c r="AH77" s="60" t="str">
        <x:f>IF(C77="","",IF(AG77=AG76,AH76,AA76))</x:f>
      </x:c>
      <x:c r="AI77" s="60" t="str">
        <x:f>IF(C77="","",IF(AG77=AG76,AI76,AC76))</x:f>
      </x:c>
      <x:c r="AJ77" s="60" t="str">
        <x:f>IF(C77="","",IF(AG77=AG76,AJ76,AE76))</x:f>
      </x:c>
      <x:c r="AK77" s="60" t="n">
        <x:f>IF(OR(H77="Vundet",H77="Tabt"),1,0)</x:f>
        <x:v>0</x:v>
      </x:c>
      <x:c r="AL77" s="60" t="n"/>
      <x:c r="AM77" s="60" t="n">
        <x:f>MAX($AG$10:$AG$209)</x:f>
        <x:v>4</x:v>
      </x:c>
      <x:c r="AN77" s="60" t="str">
        <x:f>IF(C77="","",IF(AND(C78&lt;&gt;"",C78&lt;&gt;C77),1,0))</x:f>
      </x:c>
      <x:c r="AO77" s="60" t="n"/>
      <x:c r="AP77" s="60" t="n">
        <x:f>MAX($AG$10:$AG$209)</x:f>
        <x:v>4</x:v>
      </x:c>
      <x:c r="AQ77" t="str">
        <x:f>AG77</x:f>
      </x:c>
      <x:c r="AR77" t="n">
        <x:f>C77</x:f>
        <x:v>0</x:v>
      </x:c>
      <x:c r="AS77" t="n">
        <x:f>E77</x:f>
        <x:v>0</x:v>
      </x:c>
    </x:row>
    <x:row r="78">
      <x:c r="A78" s="60" t="str">
        <x:f>IF(C78="","",COUNTIF($C$10:C78,"&lt;&gt;"))</x:f>
      </x:c>
      <x:c r="B78" s="122" t="n"/>
      <x:c r="C78" s="87" t="n"/>
      <x:c r="D78" s="87" t="n"/>
      <x:c r="E78" s="87" t="n"/>
      <x:c r="F78" s="87" t="n"/>
      <x:c r="G78" s="87" t="n"/>
      <x:c r="H78" s="87" t="n"/>
      <x:c r="I78" s="87" t="n"/>
      <x:c r="J78" s="87" t="n"/>
      <x:c r="K78" s="87" t="n"/>
      <x:c r="L78" s="87" t="n"/>
      <x:c r="M78" s="87" t="n"/>
      <x:c r="N78" s="87" t="n"/>
      <x:c r="O78" s="62" t="str">
        <x:f>IF(G78="","",IF(G78="Single",AH78,IF(G78="Double",AI78,AJ78)))</x:f>
      </x:c>
      <x:c r="P78" s="62" t="str">
        <x:f>IF(OR(G78="",H78="Ikke spillet"),"",IF(G78="Single",O78,IF(J78="","",(O78+J78)/2)))</x:f>
      </x:c>
      <x:c r="Q78" s="62" t="str">
        <x:f>IF(OR(G78="",H78="Ikke spillet"),"",IF(G78="Single",L78,IF(OR(L78="",N78=""),"",(L78+N78)/2)))</x:f>
      </x:c>
      <x:c r="R78" s="62" t="str">
        <x:f>IF(OR(P78="",Q78=""),"",Q78-P78)</x:f>
      </x:c>
      <x:c r="S78" s="62" t="str">
        <x:f>IF(H78="Ikke spillet","",IF(R78="","",IF(ABS(R78)&lt;0.000001,"Lige (0)",VLOOKUP(ABS(R78),'BD Pointtabel'!$A$4:$G$15,2,TRUE))))</x:f>
      </x:c>
      <x:c r="T78" s="62" t="str">
        <x:f>IF(H78="Ikke spillet","Ikke spillet",IF(H78="Planlagt","Planlagt",IF(OR(H78="",P78="",Q78=""),"",IF(H78="Vundet",IF(R78&gt;0,"Uventet sejr","Ventet sejr"),IF(R78&gt;=0,"Ventet nederlag","Uventet nederlag")))))</x:f>
      </x:c>
      <x:c r="U78" s="62" t="str">
        <x:f>IF(OR(H78="Ikke spillet",H78="Planlagt"),"",IF(OR(G78="",H78="",P78="",Q78=""),"",IF(AND(F78="Ungdomsholdturnering",OR(G78="Double",G78="Mix"),H78="Tabt"),0,IF(H78="Vundet",IF(R78&gt;0,VLOOKUP(ABS(R78),'BD Pointtabel'!$A$4:$G$15,4,TRUE),VLOOKUP(ABS(R78),'BD Pointtabel'!$A$4:$G$15,7,TRUE)),IF(R78&gt;=0,VLOOKUP(ABS(R78),'BD Pointtabel'!$A$4:$G$15,6,TRUE),VLOOKUP(ABS(R78),'BD Pointtabel'!$A$4:$G$15,3,TRUE))))))</x:f>
      </x:c>
      <x:c r="V78" s="62" t="str">
        <x:f>IF(G78="","",SUMIFS($U$10:U78,$AG$10:AG78,AG78,$G$10:G78,G78))</x:f>
      </x:c>
      <x:c r="W78" s="62" t="str">
        <x:f>IF(C78="","",IF(AN78&lt;&gt;1,"",IF(G78="Single",AA78,IF(G78="Double",AC78,AE78))))</x:f>
      </x:c>
      <x:c r="X78" s="62" t="str">
        <x:f>IF(C78="","",IF(AN78&lt;&gt;1,"",ROUND(((AA78*AB78+AC78*AD78+AE78*AF78)/(AB78+AD78+AF78))+IF((MAX(AA78,AC78,AE78)-(AA78+AC78+AE78-MAX(AA78,AC78,AE78)-MIN(AA78,AC78,AE78)))&lt;'Model &amp; indstillinger'!$E$16,'Model &amp; indstillinger'!$E$18,'Model &amp; indstillinger'!$E$20)*(MAX(AA78,AC78,AE78)-((AA78*AB78+AC78*AD78+AE78*AF78)/(AB78+AD78+AF78))),0)))</x:f>
      </x:c>
      <x:c r="Y78" s="62" t="str">
        <x:f>IF(X78="","",'Model &amp; indstillinger'!$B$4-X78)</x:f>
      </x:c>
      <x:c r="Z78" s="62" t="str">
        <x:f>IF(C78="","",IF(H78="Planlagt","Planlagt – ingen point endnu",IF(H78="Ikke spillet","Ikke spillet – tæller ikke som kamp og giver ingen point",IF(AN78=1,"STÆVNE SLUT – samlet point tilskrives","Frosset pointgrundlag – ingen tilskrivning endnu"))))</x:f>
      </x:c>
      <x:c r="AA78" s="60" t="str">
        <x:f>IF(C78="","",'Model &amp; indstillinger'!$B$6+SUMIFS($U$10:U78,$G$10:G78,"Single"))</x:f>
      </x:c>
      <x:c r="AB78" s="60" t="str">
        <x:f>IF(C78="","",'Model &amp; indstillinger'!$B$7+COUNTIFS($G$10:G78,"Single",$AK$10:AK78,1))</x:f>
      </x:c>
      <x:c r="AC78" s="60" t="str">
        <x:f>IF(C78="","",'Model &amp; indstillinger'!$B$8+SUMIFS($U$10:U78,$G$10:G78,"Double"))</x:f>
      </x:c>
      <x:c r="AD78" s="60" t="str">
        <x:f>IF(C78="","",'Model &amp; indstillinger'!$B$9+COUNTIFS($G$10:G78,"Double",$AK$10:AK78,1))</x:f>
      </x:c>
      <x:c r="AE78" s="60" t="str">
        <x:f>IF(C78="","",'Model &amp; indstillinger'!$B$10+SUMIFS($U$10:U78,$G$10:G78,"Mix"))</x:f>
      </x:c>
      <x:c r="AF78" s="60" t="str">
        <x:f>IF(C78="","",'Model &amp; indstillinger'!$B$11+COUNTIFS($G$10:G78,"Mix",$AK$10:AK78,1))</x:f>
      </x:c>
      <x:c r="AG78" s="60" t="str">
        <x:f>IF(C78="","",IF(C78=C77,AG77,AG77+1))</x:f>
      </x:c>
      <x:c r="AH78" s="60" t="str">
        <x:f>IF(C78="","",IF(AG78=AG77,AH77,AA77))</x:f>
      </x:c>
      <x:c r="AI78" s="60" t="str">
        <x:f>IF(C78="","",IF(AG78=AG77,AI77,AC77))</x:f>
      </x:c>
      <x:c r="AJ78" s="60" t="str">
        <x:f>IF(C78="","",IF(AG78=AG77,AJ77,AE77))</x:f>
      </x:c>
      <x:c r="AK78" s="60" t="n">
        <x:f>IF(OR(H78="Vundet",H78="Tabt"),1,0)</x:f>
        <x:v>0</x:v>
      </x:c>
      <x:c r="AL78" s="60" t="n"/>
      <x:c r="AM78" s="60" t="n">
        <x:f>MAX($AG$10:$AG$209)</x:f>
        <x:v>4</x:v>
      </x:c>
      <x:c r="AN78" s="60" t="str">
        <x:f>IF(C78="","",IF(AND(C79&lt;&gt;"",C79&lt;&gt;C78),1,0))</x:f>
      </x:c>
      <x:c r="AO78" s="60" t="n"/>
      <x:c r="AP78" s="60" t="n">
        <x:f>MAX($AG$10:$AG$209)</x:f>
        <x:v>4</x:v>
      </x:c>
      <x:c r="AQ78" t="str">
        <x:f>AG78</x:f>
      </x:c>
      <x:c r="AR78" t="n">
        <x:f>C78</x:f>
        <x:v>0</x:v>
      </x:c>
      <x:c r="AS78" t="n">
        <x:f>E78</x:f>
        <x:v>0</x:v>
      </x:c>
    </x:row>
    <x:row r="79">
      <x:c r="A79" s="60" t="str">
        <x:f>IF(C79="","",COUNTIF($C$10:C79,"&lt;&gt;"))</x:f>
      </x:c>
      <x:c r="B79" s="122" t="n"/>
      <x:c r="C79" s="87" t="n"/>
      <x:c r="D79" s="87" t="n"/>
      <x:c r="E79" s="87" t="n"/>
      <x:c r="F79" s="87" t="n"/>
      <x:c r="G79" s="87" t="n"/>
      <x:c r="H79" s="87" t="n"/>
      <x:c r="I79" s="87" t="n"/>
      <x:c r="J79" s="87" t="n"/>
      <x:c r="K79" s="87" t="n"/>
      <x:c r="L79" s="87" t="n"/>
      <x:c r="M79" s="87" t="n"/>
      <x:c r="N79" s="87" t="n"/>
      <x:c r="O79" s="62" t="str">
        <x:f>IF(G79="","",IF(G79="Single",AH79,IF(G79="Double",AI79,AJ79)))</x:f>
      </x:c>
      <x:c r="P79" s="62" t="str">
        <x:f>IF(OR(G79="",H79="Ikke spillet"),"",IF(G79="Single",O79,IF(J79="","",(O79+J79)/2)))</x:f>
      </x:c>
      <x:c r="Q79" s="62" t="str">
        <x:f>IF(OR(G79="",H79="Ikke spillet"),"",IF(G79="Single",L79,IF(OR(L79="",N79=""),"",(L79+N79)/2)))</x:f>
      </x:c>
      <x:c r="R79" s="62" t="str">
        <x:f>IF(OR(P79="",Q79=""),"",Q79-P79)</x:f>
      </x:c>
      <x:c r="S79" s="62" t="str">
        <x:f>IF(H79="Ikke spillet","",IF(R79="","",IF(ABS(R79)&lt;0.000001,"Lige (0)",VLOOKUP(ABS(R79),'BD Pointtabel'!$A$4:$G$15,2,TRUE))))</x:f>
      </x:c>
      <x:c r="T79" s="62" t="str">
        <x:f>IF(H79="Ikke spillet","Ikke spillet",IF(H79="Planlagt","Planlagt",IF(OR(H79="",P79="",Q79=""),"",IF(H79="Vundet",IF(R79&gt;0,"Uventet sejr","Ventet sejr"),IF(R79&gt;=0,"Ventet nederlag","Uventet nederlag")))))</x:f>
      </x:c>
      <x:c r="U79" s="62" t="str">
        <x:f>IF(OR(H79="Ikke spillet",H79="Planlagt"),"",IF(OR(G79="",H79="",P79="",Q79=""),"",IF(AND(F79="Ungdomsholdturnering",OR(G79="Double",G79="Mix"),H79="Tabt"),0,IF(H79="Vundet",IF(R79&gt;0,VLOOKUP(ABS(R79),'BD Pointtabel'!$A$4:$G$15,4,TRUE),VLOOKUP(ABS(R79),'BD Pointtabel'!$A$4:$G$15,7,TRUE)),IF(R79&gt;=0,VLOOKUP(ABS(R79),'BD Pointtabel'!$A$4:$G$15,6,TRUE),VLOOKUP(ABS(R79),'BD Pointtabel'!$A$4:$G$15,3,TRUE))))))</x:f>
      </x:c>
      <x:c r="V79" s="62" t="str">
        <x:f>IF(G79="","",SUMIFS($U$10:U79,$AG$10:AG79,AG79,$G$10:G79,G79))</x:f>
      </x:c>
      <x:c r="W79" s="62" t="str">
        <x:f>IF(C79="","",IF(AN79&lt;&gt;1,"",IF(G79="Single",AA79,IF(G79="Double",AC79,AE79))))</x:f>
      </x:c>
      <x:c r="X79" s="62" t="str">
        <x:f>IF(C79="","",IF(AN79&lt;&gt;1,"",ROUND(((AA79*AB79+AC79*AD79+AE79*AF79)/(AB79+AD79+AF79))+IF((MAX(AA79,AC79,AE79)-(AA79+AC79+AE79-MAX(AA79,AC79,AE79)-MIN(AA79,AC79,AE79)))&lt;'Model &amp; indstillinger'!$E$16,'Model &amp; indstillinger'!$E$18,'Model &amp; indstillinger'!$E$20)*(MAX(AA79,AC79,AE79)-((AA79*AB79+AC79*AD79+AE79*AF79)/(AB79+AD79+AF79))),0)))</x:f>
      </x:c>
      <x:c r="Y79" s="62" t="str">
        <x:f>IF(X79="","",'Model &amp; indstillinger'!$B$4-X79)</x:f>
      </x:c>
      <x:c r="Z79" s="62" t="str">
        <x:f>IF(C79="","",IF(H79="Planlagt","Planlagt – ingen point endnu",IF(H79="Ikke spillet","Ikke spillet – tæller ikke som kamp og giver ingen point",IF(AN79=1,"STÆVNE SLUT – samlet point tilskrives","Frosset pointgrundlag – ingen tilskrivning endnu"))))</x:f>
      </x:c>
      <x:c r="AA79" s="60" t="str">
        <x:f>IF(C79="","",'Model &amp; indstillinger'!$B$6+SUMIFS($U$10:U79,$G$10:G79,"Single"))</x:f>
      </x:c>
      <x:c r="AB79" s="60" t="str">
        <x:f>IF(C79="","",'Model &amp; indstillinger'!$B$7+COUNTIFS($G$10:G79,"Single",$AK$10:AK79,1))</x:f>
      </x:c>
      <x:c r="AC79" s="60" t="str">
        <x:f>IF(C79="","",'Model &amp; indstillinger'!$B$8+SUMIFS($U$10:U79,$G$10:G79,"Double"))</x:f>
      </x:c>
      <x:c r="AD79" s="60" t="str">
        <x:f>IF(C79="","",'Model &amp; indstillinger'!$B$9+COUNTIFS($G$10:G79,"Double",$AK$10:AK79,1))</x:f>
      </x:c>
      <x:c r="AE79" s="60" t="str">
        <x:f>IF(C79="","",'Model &amp; indstillinger'!$B$10+SUMIFS($U$10:U79,$G$10:G79,"Mix"))</x:f>
      </x:c>
      <x:c r="AF79" s="60" t="str">
        <x:f>IF(C79="","",'Model &amp; indstillinger'!$B$11+COUNTIFS($G$10:G79,"Mix",$AK$10:AK79,1))</x:f>
      </x:c>
      <x:c r="AG79" s="60" t="str">
        <x:f>IF(C79="","",IF(C79=C78,AG78,AG78+1))</x:f>
      </x:c>
      <x:c r="AH79" s="60" t="str">
        <x:f>IF(C79="","",IF(AG79=AG78,AH78,AA78))</x:f>
      </x:c>
      <x:c r="AI79" s="60" t="str">
        <x:f>IF(C79="","",IF(AG79=AG78,AI78,AC78))</x:f>
      </x:c>
      <x:c r="AJ79" s="60" t="str">
        <x:f>IF(C79="","",IF(AG79=AG78,AJ78,AE78))</x:f>
      </x:c>
      <x:c r="AK79" s="60" t="n">
        <x:f>IF(OR(H79="Vundet",H79="Tabt"),1,0)</x:f>
        <x:v>0</x:v>
      </x:c>
      <x:c r="AL79" s="60" t="n"/>
      <x:c r="AM79" s="60" t="n">
        <x:f>MAX($AG$10:$AG$209)</x:f>
        <x:v>4</x:v>
      </x:c>
      <x:c r="AN79" s="60" t="str">
        <x:f>IF(C79="","",IF(AND(C80&lt;&gt;"",C80&lt;&gt;C79),1,0))</x:f>
      </x:c>
      <x:c r="AO79" s="60" t="n"/>
      <x:c r="AP79" s="60" t="n">
        <x:f>MAX($AG$10:$AG$209)</x:f>
        <x:v>4</x:v>
      </x:c>
      <x:c r="AQ79" t="str">
        <x:f>AG79</x:f>
      </x:c>
      <x:c r="AR79" t="n">
        <x:f>C79</x:f>
        <x:v>0</x:v>
      </x:c>
      <x:c r="AS79" t="n">
        <x:f>E79</x:f>
        <x:v>0</x:v>
      </x:c>
    </x:row>
    <x:row r="80">
      <x:c r="A80" s="60" t="str">
        <x:f>IF(C80="","",COUNTIF($C$10:C80,"&lt;&gt;"))</x:f>
      </x:c>
      <x:c r="B80" s="122" t="n"/>
      <x:c r="C80" s="87" t="n"/>
      <x:c r="D80" s="87" t="n"/>
      <x:c r="E80" s="87" t="n"/>
      <x:c r="F80" s="87" t="n"/>
      <x:c r="G80" s="87" t="n"/>
      <x:c r="H80" s="87" t="n"/>
      <x:c r="I80" s="87" t="n"/>
      <x:c r="J80" s="87" t="n"/>
      <x:c r="K80" s="87" t="n"/>
      <x:c r="L80" s="87" t="n"/>
      <x:c r="M80" s="87" t="n"/>
      <x:c r="N80" s="87" t="n"/>
      <x:c r="O80" s="62" t="str">
        <x:f>IF(G80="","",IF(G80="Single",AH80,IF(G80="Double",AI80,AJ80)))</x:f>
      </x:c>
      <x:c r="P80" s="62" t="str">
        <x:f>IF(OR(G80="",H80="Ikke spillet"),"",IF(G80="Single",O80,IF(J80="","",(O80+J80)/2)))</x:f>
      </x:c>
      <x:c r="Q80" s="62" t="str">
        <x:f>IF(OR(G80="",H80="Ikke spillet"),"",IF(G80="Single",L80,IF(OR(L80="",N80=""),"",(L80+N80)/2)))</x:f>
      </x:c>
      <x:c r="R80" s="62" t="str">
        <x:f>IF(OR(P80="",Q80=""),"",Q80-P80)</x:f>
      </x:c>
      <x:c r="S80" s="62" t="str">
        <x:f>IF(H80="Ikke spillet","",IF(R80="","",IF(ABS(R80)&lt;0.000001,"Lige (0)",VLOOKUP(ABS(R80),'BD Pointtabel'!$A$4:$G$15,2,TRUE))))</x:f>
      </x:c>
      <x:c r="T80" s="62" t="str">
        <x:f>IF(H80="Ikke spillet","Ikke spillet",IF(H80="Planlagt","Planlagt",IF(OR(H80="",P80="",Q80=""),"",IF(H80="Vundet",IF(R80&gt;0,"Uventet sejr","Ventet sejr"),IF(R80&gt;=0,"Ventet nederlag","Uventet nederlag")))))</x:f>
      </x:c>
      <x:c r="U80" s="62" t="str">
        <x:f>IF(OR(H80="Ikke spillet",H80="Planlagt"),"",IF(OR(G80="",H80="",P80="",Q80=""),"",IF(AND(F80="Ungdomsholdturnering",OR(G80="Double",G80="Mix"),H80="Tabt"),0,IF(H80="Vundet",IF(R80&gt;0,VLOOKUP(ABS(R80),'BD Pointtabel'!$A$4:$G$15,4,TRUE),VLOOKUP(ABS(R80),'BD Pointtabel'!$A$4:$G$15,7,TRUE)),IF(R80&gt;=0,VLOOKUP(ABS(R80),'BD Pointtabel'!$A$4:$G$15,6,TRUE),VLOOKUP(ABS(R80),'BD Pointtabel'!$A$4:$G$15,3,TRUE))))))</x:f>
      </x:c>
      <x:c r="V80" s="62" t="str">
        <x:f>IF(G80="","",SUMIFS($U$10:U80,$AG$10:AG80,AG80,$G$10:G80,G80))</x:f>
      </x:c>
      <x:c r="W80" s="62" t="str">
        <x:f>IF(C80="","",IF(AN80&lt;&gt;1,"",IF(G80="Single",AA80,IF(G80="Double",AC80,AE80))))</x:f>
      </x:c>
      <x:c r="X80" s="62" t="str">
        <x:f>IF(C80="","",IF(AN80&lt;&gt;1,"",ROUND(((AA80*AB80+AC80*AD80+AE80*AF80)/(AB80+AD80+AF80))+IF((MAX(AA80,AC80,AE80)-(AA80+AC80+AE80-MAX(AA80,AC80,AE80)-MIN(AA80,AC80,AE80)))&lt;'Model &amp; indstillinger'!$E$16,'Model &amp; indstillinger'!$E$18,'Model &amp; indstillinger'!$E$20)*(MAX(AA80,AC80,AE80)-((AA80*AB80+AC80*AD80+AE80*AF80)/(AB80+AD80+AF80))),0)))</x:f>
      </x:c>
      <x:c r="Y80" s="62" t="str">
        <x:f>IF(X80="","",'Model &amp; indstillinger'!$B$4-X80)</x:f>
      </x:c>
      <x:c r="Z80" s="62" t="str">
        <x:f>IF(C80="","",IF(H80="Planlagt","Planlagt – ingen point endnu",IF(H80="Ikke spillet","Ikke spillet – tæller ikke som kamp og giver ingen point",IF(AN80=1,"STÆVNE SLUT – samlet point tilskrives","Frosset pointgrundlag – ingen tilskrivning endnu"))))</x:f>
      </x:c>
      <x:c r="AA80" s="60" t="str">
        <x:f>IF(C80="","",'Model &amp; indstillinger'!$B$6+SUMIFS($U$10:U80,$G$10:G80,"Single"))</x:f>
      </x:c>
      <x:c r="AB80" s="60" t="str">
        <x:f>IF(C80="","",'Model &amp; indstillinger'!$B$7+COUNTIFS($G$10:G80,"Single",$AK$10:AK80,1))</x:f>
      </x:c>
      <x:c r="AC80" s="60" t="str">
        <x:f>IF(C80="","",'Model &amp; indstillinger'!$B$8+SUMIFS($U$10:U80,$G$10:G80,"Double"))</x:f>
      </x:c>
      <x:c r="AD80" s="60" t="str">
        <x:f>IF(C80="","",'Model &amp; indstillinger'!$B$9+COUNTIFS($G$10:G80,"Double",$AK$10:AK80,1))</x:f>
      </x:c>
      <x:c r="AE80" s="60" t="str">
        <x:f>IF(C80="","",'Model &amp; indstillinger'!$B$10+SUMIFS($U$10:U80,$G$10:G80,"Mix"))</x:f>
      </x:c>
      <x:c r="AF80" s="60" t="str">
        <x:f>IF(C80="","",'Model &amp; indstillinger'!$B$11+COUNTIFS($G$10:G80,"Mix",$AK$10:AK80,1))</x:f>
      </x:c>
      <x:c r="AG80" s="60" t="str">
        <x:f>IF(C80="","",IF(C80=C79,AG79,AG79+1))</x:f>
      </x:c>
      <x:c r="AH80" s="60" t="str">
        <x:f>IF(C80="","",IF(AG80=AG79,AH79,AA79))</x:f>
      </x:c>
      <x:c r="AI80" s="60" t="str">
        <x:f>IF(C80="","",IF(AG80=AG79,AI79,AC79))</x:f>
      </x:c>
      <x:c r="AJ80" s="60" t="str">
        <x:f>IF(C80="","",IF(AG80=AG79,AJ79,AE79))</x:f>
      </x:c>
      <x:c r="AK80" s="60" t="n">
        <x:f>IF(OR(H80="Vundet",H80="Tabt"),1,0)</x:f>
        <x:v>0</x:v>
      </x:c>
      <x:c r="AL80" s="60" t="n"/>
      <x:c r="AM80" s="60" t="n">
        <x:f>MAX($AG$10:$AG$209)</x:f>
        <x:v>4</x:v>
      </x:c>
      <x:c r="AN80" s="60" t="str">
        <x:f>IF(C80="","",IF(AND(C81&lt;&gt;"",C81&lt;&gt;C80),1,0))</x:f>
      </x:c>
      <x:c r="AO80" s="60" t="n"/>
      <x:c r="AP80" s="60" t="n">
        <x:f>MAX($AG$10:$AG$209)</x:f>
        <x:v>4</x:v>
      </x:c>
      <x:c r="AQ80" t="str">
        <x:f>AG80</x:f>
      </x:c>
      <x:c r="AR80" t="n">
        <x:f>C80</x:f>
        <x:v>0</x:v>
      </x:c>
      <x:c r="AS80" t="n">
        <x:f>E80</x:f>
        <x:v>0</x:v>
      </x:c>
    </x:row>
    <x:row r="81">
      <x:c r="A81" s="60" t="str">
        <x:f>IF(C81="","",COUNTIF($C$10:C81,"&lt;&gt;"))</x:f>
      </x:c>
      <x:c r="B81" s="122" t="n"/>
      <x:c r="C81" s="87" t="n"/>
      <x:c r="D81" s="87" t="n"/>
      <x:c r="E81" s="87" t="n"/>
      <x:c r="F81" s="87" t="n"/>
      <x:c r="G81" s="87" t="n"/>
      <x:c r="H81" s="87" t="n"/>
      <x:c r="I81" s="87" t="n"/>
      <x:c r="J81" s="87" t="n"/>
      <x:c r="K81" s="87" t="n"/>
      <x:c r="L81" s="87" t="n"/>
      <x:c r="M81" s="87" t="n"/>
      <x:c r="N81" s="87" t="n"/>
      <x:c r="O81" s="62" t="str">
        <x:f>IF(G81="","",IF(G81="Single",AH81,IF(G81="Double",AI81,AJ81)))</x:f>
      </x:c>
      <x:c r="P81" s="62" t="str">
        <x:f>IF(OR(G81="",H81="Ikke spillet"),"",IF(G81="Single",O81,IF(J81="","",(O81+J81)/2)))</x:f>
      </x:c>
      <x:c r="Q81" s="62" t="str">
        <x:f>IF(OR(G81="",H81="Ikke spillet"),"",IF(G81="Single",L81,IF(OR(L81="",N81=""),"",(L81+N81)/2)))</x:f>
      </x:c>
      <x:c r="R81" s="62" t="str">
        <x:f>IF(OR(P81="",Q81=""),"",Q81-P81)</x:f>
      </x:c>
      <x:c r="S81" s="62" t="str">
        <x:f>IF(H81="Ikke spillet","",IF(R81="","",IF(ABS(R81)&lt;0.000001,"Lige (0)",VLOOKUP(ABS(R81),'BD Pointtabel'!$A$4:$G$15,2,TRUE))))</x:f>
      </x:c>
      <x:c r="T81" s="62" t="str">
        <x:f>IF(H81="Ikke spillet","Ikke spillet",IF(H81="Planlagt","Planlagt",IF(OR(H81="",P81="",Q81=""),"",IF(H81="Vundet",IF(R81&gt;0,"Uventet sejr","Ventet sejr"),IF(R81&gt;=0,"Ventet nederlag","Uventet nederlag")))))</x:f>
      </x:c>
      <x:c r="U81" s="62" t="str">
        <x:f>IF(OR(H81="Ikke spillet",H81="Planlagt"),"",IF(OR(G81="",H81="",P81="",Q81=""),"",IF(AND(F81="Ungdomsholdturnering",OR(G81="Double",G81="Mix"),H81="Tabt"),0,IF(H81="Vundet",IF(R81&gt;0,VLOOKUP(ABS(R81),'BD Pointtabel'!$A$4:$G$15,4,TRUE),VLOOKUP(ABS(R81),'BD Pointtabel'!$A$4:$G$15,7,TRUE)),IF(R81&gt;=0,VLOOKUP(ABS(R81),'BD Pointtabel'!$A$4:$G$15,6,TRUE),VLOOKUP(ABS(R81),'BD Pointtabel'!$A$4:$G$15,3,TRUE))))))</x:f>
      </x:c>
      <x:c r="V81" s="62" t="str">
        <x:f>IF(G81="","",SUMIFS($U$10:U81,$AG$10:AG81,AG81,$G$10:G81,G81))</x:f>
      </x:c>
      <x:c r="W81" s="62" t="str">
        <x:f>IF(C81="","",IF(AN81&lt;&gt;1,"",IF(G81="Single",AA81,IF(G81="Double",AC81,AE81))))</x:f>
      </x:c>
      <x:c r="X81" s="62" t="str">
        <x:f>IF(C81="","",IF(AN81&lt;&gt;1,"",ROUND(((AA81*AB81+AC81*AD81+AE81*AF81)/(AB81+AD81+AF81))+IF((MAX(AA81,AC81,AE81)-(AA81+AC81+AE81-MAX(AA81,AC81,AE81)-MIN(AA81,AC81,AE81)))&lt;'Model &amp; indstillinger'!$E$16,'Model &amp; indstillinger'!$E$18,'Model &amp; indstillinger'!$E$20)*(MAX(AA81,AC81,AE81)-((AA81*AB81+AC81*AD81+AE81*AF81)/(AB81+AD81+AF81))),0)))</x:f>
      </x:c>
      <x:c r="Y81" s="62" t="str">
        <x:f>IF(X81="","",'Model &amp; indstillinger'!$B$4-X81)</x:f>
      </x:c>
      <x:c r="Z81" s="62" t="str">
        <x:f>IF(C81="","",IF(H81="Planlagt","Planlagt – ingen point endnu",IF(H81="Ikke spillet","Ikke spillet – tæller ikke som kamp og giver ingen point",IF(AN81=1,"STÆVNE SLUT – samlet point tilskrives","Frosset pointgrundlag – ingen tilskrivning endnu"))))</x:f>
      </x:c>
      <x:c r="AA81" s="60" t="str">
        <x:f>IF(C81="","",'Model &amp; indstillinger'!$B$6+SUMIFS($U$10:U81,$G$10:G81,"Single"))</x:f>
      </x:c>
      <x:c r="AB81" s="60" t="str">
        <x:f>IF(C81="","",'Model &amp; indstillinger'!$B$7+COUNTIFS($G$10:G81,"Single",$AK$10:AK81,1))</x:f>
      </x:c>
      <x:c r="AC81" s="60" t="str">
        <x:f>IF(C81="","",'Model &amp; indstillinger'!$B$8+SUMIFS($U$10:U81,$G$10:G81,"Double"))</x:f>
      </x:c>
      <x:c r="AD81" s="60" t="str">
        <x:f>IF(C81="","",'Model &amp; indstillinger'!$B$9+COUNTIFS($G$10:G81,"Double",$AK$10:AK81,1))</x:f>
      </x:c>
      <x:c r="AE81" s="60" t="str">
        <x:f>IF(C81="","",'Model &amp; indstillinger'!$B$10+SUMIFS($U$10:U81,$G$10:G81,"Mix"))</x:f>
      </x:c>
      <x:c r="AF81" s="60" t="str">
        <x:f>IF(C81="","",'Model &amp; indstillinger'!$B$11+COUNTIFS($G$10:G81,"Mix",$AK$10:AK81,1))</x:f>
      </x:c>
      <x:c r="AG81" s="60" t="str">
        <x:f>IF(C81="","",IF(C81=C80,AG80,AG80+1))</x:f>
      </x:c>
      <x:c r="AH81" s="60" t="str">
        <x:f>IF(C81="","",IF(AG81=AG80,AH80,AA80))</x:f>
      </x:c>
      <x:c r="AI81" s="60" t="str">
        <x:f>IF(C81="","",IF(AG81=AG80,AI80,AC80))</x:f>
      </x:c>
      <x:c r="AJ81" s="60" t="str">
        <x:f>IF(C81="","",IF(AG81=AG80,AJ80,AE80))</x:f>
      </x:c>
      <x:c r="AK81" s="60" t="n">
        <x:f>IF(OR(H81="Vundet",H81="Tabt"),1,0)</x:f>
        <x:v>0</x:v>
      </x:c>
      <x:c r="AL81" s="60" t="n"/>
      <x:c r="AM81" s="60" t="n">
        <x:f>MAX($AG$10:$AG$209)</x:f>
        <x:v>4</x:v>
      </x:c>
      <x:c r="AN81" s="60" t="str">
        <x:f>IF(C81="","",IF(AND(C82&lt;&gt;"",C82&lt;&gt;C81),1,0))</x:f>
      </x:c>
      <x:c r="AO81" s="60" t="n"/>
      <x:c r="AP81" s="60" t="n">
        <x:f>MAX($AG$10:$AG$209)</x:f>
        <x:v>4</x:v>
      </x:c>
      <x:c r="AQ81" t="str">
        <x:f>AG81</x:f>
      </x:c>
      <x:c r="AR81" t="n">
        <x:f>C81</x:f>
        <x:v>0</x:v>
      </x:c>
      <x:c r="AS81" t="n">
        <x:f>E81</x:f>
        <x:v>0</x:v>
      </x:c>
    </x:row>
    <x:row r="82">
      <x:c r="A82" s="60" t="str">
        <x:f>IF(C82="","",COUNTIF($C$10:C82,"&lt;&gt;"))</x:f>
      </x:c>
      <x:c r="B82" s="122" t="n"/>
      <x:c r="C82" s="87" t="n"/>
      <x:c r="D82" s="87" t="n"/>
      <x:c r="E82" s="87" t="n"/>
      <x:c r="F82" s="87" t="n"/>
      <x:c r="G82" s="87" t="n"/>
      <x:c r="H82" s="87" t="n"/>
      <x:c r="I82" s="87" t="n"/>
      <x:c r="J82" s="87" t="n"/>
      <x:c r="K82" s="87" t="n"/>
      <x:c r="L82" s="87" t="n"/>
      <x:c r="M82" s="87" t="n"/>
      <x:c r="N82" s="87" t="n"/>
      <x:c r="O82" s="62" t="str">
        <x:f>IF(G82="","",IF(G82="Single",AH82,IF(G82="Double",AI82,AJ82)))</x:f>
      </x:c>
      <x:c r="P82" s="62" t="str">
        <x:f>IF(OR(G82="",H82="Ikke spillet"),"",IF(G82="Single",O82,IF(J82="","",(O82+J82)/2)))</x:f>
      </x:c>
      <x:c r="Q82" s="62" t="str">
        <x:f>IF(OR(G82="",H82="Ikke spillet"),"",IF(G82="Single",L82,IF(OR(L82="",N82=""),"",(L82+N82)/2)))</x:f>
      </x:c>
      <x:c r="R82" s="62" t="str">
        <x:f>IF(OR(P82="",Q82=""),"",Q82-P82)</x:f>
      </x:c>
      <x:c r="S82" s="62" t="str">
        <x:f>IF(H82="Ikke spillet","",IF(R82="","",IF(ABS(R82)&lt;0.000001,"Lige (0)",VLOOKUP(ABS(R82),'BD Pointtabel'!$A$4:$G$15,2,TRUE))))</x:f>
      </x:c>
      <x:c r="T82" s="62" t="str">
        <x:f>IF(H82="Ikke spillet","Ikke spillet",IF(H82="Planlagt","Planlagt",IF(OR(H82="",P82="",Q82=""),"",IF(H82="Vundet",IF(R82&gt;0,"Uventet sejr","Ventet sejr"),IF(R82&gt;=0,"Ventet nederlag","Uventet nederlag")))))</x:f>
      </x:c>
      <x:c r="U82" s="62" t="str">
        <x:f>IF(OR(H82="Ikke spillet",H82="Planlagt"),"",IF(OR(G82="",H82="",P82="",Q82=""),"",IF(AND(F82="Ungdomsholdturnering",OR(G82="Double",G82="Mix"),H82="Tabt"),0,IF(H82="Vundet",IF(R82&gt;0,VLOOKUP(ABS(R82),'BD Pointtabel'!$A$4:$G$15,4,TRUE),VLOOKUP(ABS(R82),'BD Pointtabel'!$A$4:$G$15,7,TRUE)),IF(R82&gt;=0,VLOOKUP(ABS(R82),'BD Pointtabel'!$A$4:$G$15,6,TRUE),VLOOKUP(ABS(R82),'BD Pointtabel'!$A$4:$G$15,3,TRUE))))))</x:f>
      </x:c>
      <x:c r="V82" s="62" t="str">
        <x:f>IF(G82="","",SUMIFS($U$10:U82,$AG$10:AG82,AG82,$G$10:G82,G82))</x:f>
      </x:c>
      <x:c r="W82" s="62" t="str">
        <x:f>IF(C82="","",IF(AN82&lt;&gt;1,"",IF(G82="Single",AA82,IF(G82="Double",AC82,AE82))))</x:f>
      </x:c>
      <x:c r="X82" s="62" t="str">
        <x:f>IF(C82="","",IF(AN82&lt;&gt;1,"",ROUND(((AA82*AB82+AC82*AD82+AE82*AF82)/(AB82+AD82+AF82))+IF((MAX(AA82,AC82,AE82)-(AA82+AC82+AE82-MAX(AA82,AC82,AE82)-MIN(AA82,AC82,AE82)))&lt;'Model &amp; indstillinger'!$E$16,'Model &amp; indstillinger'!$E$18,'Model &amp; indstillinger'!$E$20)*(MAX(AA82,AC82,AE82)-((AA82*AB82+AC82*AD82+AE82*AF82)/(AB82+AD82+AF82))),0)))</x:f>
      </x:c>
      <x:c r="Y82" s="62" t="str">
        <x:f>IF(X82="","",'Model &amp; indstillinger'!$B$4-X82)</x:f>
      </x:c>
      <x:c r="Z82" s="62" t="str">
        <x:f>IF(C82="","",IF(H82="Planlagt","Planlagt – ingen point endnu",IF(H82="Ikke spillet","Ikke spillet – tæller ikke som kamp og giver ingen point",IF(AN82=1,"STÆVNE SLUT – samlet point tilskrives","Frosset pointgrundlag – ingen tilskrivning endnu"))))</x:f>
      </x:c>
      <x:c r="AA82" s="60" t="str">
        <x:f>IF(C82="","",'Model &amp; indstillinger'!$B$6+SUMIFS($U$10:U82,$G$10:G82,"Single"))</x:f>
      </x:c>
      <x:c r="AB82" s="60" t="str">
        <x:f>IF(C82="","",'Model &amp; indstillinger'!$B$7+COUNTIFS($G$10:G82,"Single",$AK$10:AK82,1))</x:f>
      </x:c>
      <x:c r="AC82" s="60" t="str">
        <x:f>IF(C82="","",'Model &amp; indstillinger'!$B$8+SUMIFS($U$10:U82,$G$10:G82,"Double"))</x:f>
      </x:c>
      <x:c r="AD82" s="60" t="str">
        <x:f>IF(C82="","",'Model &amp; indstillinger'!$B$9+COUNTIFS($G$10:G82,"Double",$AK$10:AK82,1))</x:f>
      </x:c>
      <x:c r="AE82" s="60" t="str">
        <x:f>IF(C82="","",'Model &amp; indstillinger'!$B$10+SUMIFS($U$10:U82,$G$10:G82,"Mix"))</x:f>
      </x:c>
      <x:c r="AF82" s="60" t="str">
        <x:f>IF(C82="","",'Model &amp; indstillinger'!$B$11+COUNTIFS($G$10:G82,"Mix",$AK$10:AK82,1))</x:f>
      </x:c>
      <x:c r="AG82" s="60" t="str">
        <x:f>IF(C82="","",IF(C82=C81,AG81,AG81+1))</x:f>
      </x:c>
      <x:c r="AH82" s="60" t="str">
        <x:f>IF(C82="","",IF(AG82=AG81,AH81,AA81))</x:f>
      </x:c>
      <x:c r="AI82" s="60" t="str">
        <x:f>IF(C82="","",IF(AG82=AG81,AI81,AC81))</x:f>
      </x:c>
      <x:c r="AJ82" s="60" t="str">
        <x:f>IF(C82="","",IF(AG82=AG81,AJ81,AE81))</x:f>
      </x:c>
      <x:c r="AK82" s="60" t="n">
        <x:f>IF(OR(H82="Vundet",H82="Tabt"),1,0)</x:f>
        <x:v>0</x:v>
      </x:c>
      <x:c r="AL82" s="60" t="n"/>
      <x:c r="AM82" s="60" t="n">
        <x:f>MAX($AG$10:$AG$209)</x:f>
        <x:v>4</x:v>
      </x:c>
      <x:c r="AN82" s="60" t="str">
        <x:f>IF(C82="","",IF(AND(C83&lt;&gt;"",C83&lt;&gt;C82),1,0))</x:f>
      </x:c>
      <x:c r="AO82" s="60" t="n"/>
      <x:c r="AP82" s="60" t="n">
        <x:f>MAX($AG$10:$AG$209)</x:f>
        <x:v>4</x:v>
      </x:c>
      <x:c r="AQ82" t="str">
        <x:f>AG82</x:f>
      </x:c>
      <x:c r="AR82" t="n">
        <x:f>C82</x:f>
        <x:v>0</x:v>
      </x:c>
      <x:c r="AS82" t="n">
        <x:f>E82</x:f>
        <x:v>0</x:v>
      </x:c>
    </x:row>
    <x:row r="83">
      <x:c r="A83" s="60" t="str">
        <x:f>IF(C83="","",COUNTIF($C$10:C83,"&lt;&gt;"))</x:f>
      </x:c>
      <x:c r="B83" s="122" t="n"/>
      <x:c r="C83" s="87" t="n"/>
      <x:c r="D83" s="87" t="n"/>
      <x:c r="E83" s="87" t="n"/>
      <x:c r="F83" s="87" t="n"/>
      <x:c r="G83" s="87" t="n"/>
      <x:c r="H83" s="87" t="n"/>
      <x:c r="I83" s="87" t="n"/>
      <x:c r="J83" s="87" t="n"/>
      <x:c r="K83" s="87" t="n"/>
      <x:c r="L83" s="87" t="n"/>
      <x:c r="M83" s="87" t="n"/>
      <x:c r="N83" s="87" t="n"/>
      <x:c r="O83" s="62" t="str">
        <x:f>IF(G83="","",IF(G83="Single",AH83,IF(G83="Double",AI83,AJ83)))</x:f>
      </x:c>
      <x:c r="P83" s="62" t="str">
        <x:f>IF(OR(G83="",H83="Ikke spillet"),"",IF(G83="Single",O83,IF(J83="","",(O83+J83)/2)))</x:f>
      </x:c>
      <x:c r="Q83" s="62" t="str">
        <x:f>IF(OR(G83="",H83="Ikke spillet"),"",IF(G83="Single",L83,IF(OR(L83="",N83=""),"",(L83+N83)/2)))</x:f>
      </x:c>
      <x:c r="R83" s="62" t="str">
        <x:f>IF(OR(P83="",Q83=""),"",Q83-P83)</x:f>
      </x:c>
      <x:c r="S83" s="62" t="str">
        <x:f>IF(H83="Ikke spillet","",IF(R83="","",IF(ABS(R83)&lt;0.000001,"Lige (0)",VLOOKUP(ABS(R83),'BD Pointtabel'!$A$4:$G$15,2,TRUE))))</x:f>
      </x:c>
      <x:c r="T83" s="62" t="str">
        <x:f>IF(H83="Ikke spillet","Ikke spillet",IF(H83="Planlagt","Planlagt",IF(OR(H83="",P83="",Q83=""),"",IF(H83="Vundet",IF(R83&gt;0,"Uventet sejr","Ventet sejr"),IF(R83&gt;=0,"Ventet nederlag","Uventet nederlag")))))</x:f>
      </x:c>
      <x:c r="U83" s="62" t="str">
        <x:f>IF(OR(H83="Ikke spillet",H83="Planlagt"),"",IF(OR(G83="",H83="",P83="",Q83=""),"",IF(AND(F83="Ungdomsholdturnering",OR(G83="Double",G83="Mix"),H83="Tabt"),0,IF(H83="Vundet",IF(R83&gt;0,VLOOKUP(ABS(R83),'BD Pointtabel'!$A$4:$G$15,4,TRUE),VLOOKUP(ABS(R83),'BD Pointtabel'!$A$4:$G$15,7,TRUE)),IF(R83&gt;=0,VLOOKUP(ABS(R83),'BD Pointtabel'!$A$4:$G$15,6,TRUE),VLOOKUP(ABS(R83),'BD Pointtabel'!$A$4:$G$15,3,TRUE))))))</x:f>
      </x:c>
      <x:c r="V83" s="62" t="str">
        <x:f>IF(G83="","",SUMIFS($U$10:U83,$AG$10:AG83,AG83,$G$10:G83,G83))</x:f>
      </x:c>
      <x:c r="W83" s="62" t="str">
        <x:f>IF(C83="","",IF(AN83&lt;&gt;1,"",IF(G83="Single",AA83,IF(G83="Double",AC83,AE83))))</x:f>
      </x:c>
      <x:c r="X83" s="62" t="str">
        <x:f>IF(C83="","",IF(AN83&lt;&gt;1,"",ROUND(((AA83*AB83+AC83*AD83+AE83*AF83)/(AB83+AD83+AF83))+IF((MAX(AA83,AC83,AE83)-(AA83+AC83+AE83-MAX(AA83,AC83,AE83)-MIN(AA83,AC83,AE83)))&lt;'Model &amp; indstillinger'!$E$16,'Model &amp; indstillinger'!$E$18,'Model &amp; indstillinger'!$E$20)*(MAX(AA83,AC83,AE83)-((AA83*AB83+AC83*AD83+AE83*AF83)/(AB83+AD83+AF83))),0)))</x:f>
      </x:c>
      <x:c r="Y83" s="62" t="str">
        <x:f>IF(X83="","",'Model &amp; indstillinger'!$B$4-X83)</x:f>
      </x:c>
      <x:c r="Z83" s="62" t="str">
        <x:f>IF(C83="","",IF(H83="Planlagt","Planlagt – ingen point endnu",IF(H83="Ikke spillet","Ikke spillet – tæller ikke som kamp og giver ingen point",IF(AN83=1,"STÆVNE SLUT – samlet point tilskrives","Frosset pointgrundlag – ingen tilskrivning endnu"))))</x:f>
      </x:c>
      <x:c r="AA83" s="60" t="str">
        <x:f>IF(C83="","",'Model &amp; indstillinger'!$B$6+SUMIFS($U$10:U83,$G$10:G83,"Single"))</x:f>
      </x:c>
      <x:c r="AB83" s="60" t="str">
        <x:f>IF(C83="","",'Model &amp; indstillinger'!$B$7+COUNTIFS($G$10:G83,"Single",$AK$10:AK83,1))</x:f>
      </x:c>
      <x:c r="AC83" s="60" t="str">
        <x:f>IF(C83="","",'Model &amp; indstillinger'!$B$8+SUMIFS($U$10:U83,$G$10:G83,"Double"))</x:f>
      </x:c>
      <x:c r="AD83" s="60" t="str">
        <x:f>IF(C83="","",'Model &amp; indstillinger'!$B$9+COUNTIFS($G$10:G83,"Double",$AK$10:AK83,1))</x:f>
      </x:c>
      <x:c r="AE83" s="60" t="str">
        <x:f>IF(C83="","",'Model &amp; indstillinger'!$B$10+SUMIFS($U$10:U83,$G$10:G83,"Mix"))</x:f>
      </x:c>
      <x:c r="AF83" s="60" t="str">
        <x:f>IF(C83="","",'Model &amp; indstillinger'!$B$11+COUNTIFS($G$10:G83,"Mix",$AK$10:AK83,1))</x:f>
      </x:c>
      <x:c r="AG83" s="60" t="str">
        <x:f>IF(C83="","",IF(C83=C82,AG82,AG82+1))</x:f>
      </x:c>
      <x:c r="AH83" s="60" t="str">
        <x:f>IF(C83="","",IF(AG83=AG82,AH82,AA82))</x:f>
      </x:c>
      <x:c r="AI83" s="60" t="str">
        <x:f>IF(C83="","",IF(AG83=AG82,AI82,AC82))</x:f>
      </x:c>
      <x:c r="AJ83" s="60" t="str">
        <x:f>IF(C83="","",IF(AG83=AG82,AJ82,AE82))</x:f>
      </x:c>
      <x:c r="AK83" s="60" t="n">
        <x:f>IF(OR(H83="Vundet",H83="Tabt"),1,0)</x:f>
        <x:v>0</x:v>
      </x:c>
      <x:c r="AL83" s="60" t="n"/>
      <x:c r="AM83" s="60" t="n">
        <x:f>MAX($AG$10:$AG$209)</x:f>
        <x:v>4</x:v>
      </x:c>
      <x:c r="AN83" s="60" t="str">
        <x:f>IF(C83="","",IF(AND(C84&lt;&gt;"",C84&lt;&gt;C83),1,0))</x:f>
      </x:c>
      <x:c r="AO83" s="60" t="n"/>
      <x:c r="AP83" s="60" t="n">
        <x:f>MAX($AG$10:$AG$209)</x:f>
        <x:v>4</x:v>
      </x:c>
      <x:c r="AQ83" t="str">
        <x:f>AG83</x:f>
      </x:c>
      <x:c r="AR83" t="n">
        <x:f>C83</x:f>
        <x:v>0</x:v>
      </x:c>
      <x:c r="AS83" t="n">
        <x:f>E83</x:f>
        <x:v>0</x:v>
      </x:c>
    </x:row>
    <x:row r="84">
      <x:c r="A84" s="60" t="str">
        <x:f>IF(C84="","",COUNTIF($C$10:C84,"&lt;&gt;"))</x:f>
      </x:c>
      <x:c r="B84" s="122" t="n"/>
      <x:c r="C84" s="87" t="n"/>
      <x:c r="D84" s="87" t="n"/>
      <x:c r="E84" s="87" t="n"/>
      <x:c r="F84" s="87" t="n"/>
      <x:c r="G84" s="87" t="n"/>
      <x:c r="H84" s="87" t="n"/>
      <x:c r="I84" s="87" t="n"/>
      <x:c r="J84" s="87" t="n"/>
      <x:c r="K84" s="87" t="n"/>
      <x:c r="L84" s="87" t="n"/>
      <x:c r="M84" s="87" t="n"/>
      <x:c r="N84" s="87" t="n"/>
      <x:c r="O84" s="62" t="str">
        <x:f>IF(G84="","",IF(G84="Single",AH84,IF(G84="Double",AI84,AJ84)))</x:f>
      </x:c>
      <x:c r="P84" s="62" t="str">
        <x:f>IF(OR(G84="",H84="Ikke spillet"),"",IF(G84="Single",O84,IF(J84="","",(O84+J84)/2)))</x:f>
      </x:c>
      <x:c r="Q84" s="62" t="str">
        <x:f>IF(OR(G84="",H84="Ikke spillet"),"",IF(G84="Single",L84,IF(OR(L84="",N84=""),"",(L84+N84)/2)))</x:f>
      </x:c>
      <x:c r="R84" s="62" t="str">
        <x:f>IF(OR(P84="",Q84=""),"",Q84-P84)</x:f>
      </x:c>
      <x:c r="S84" s="62" t="str">
        <x:f>IF(H84="Ikke spillet","",IF(R84="","",IF(ABS(R84)&lt;0.000001,"Lige (0)",VLOOKUP(ABS(R84),'BD Pointtabel'!$A$4:$G$15,2,TRUE))))</x:f>
      </x:c>
      <x:c r="T84" s="62" t="str">
        <x:f>IF(H84="Ikke spillet","Ikke spillet",IF(H84="Planlagt","Planlagt",IF(OR(H84="",P84="",Q84=""),"",IF(H84="Vundet",IF(R84&gt;0,"Uventet sejr","Ventet sejr"),IF(R84&gt;=0,"Ventet nederlag","Uventet nederlag")))))</x:f>
      </x:c>
      <x:c r="U84" s="62" t="str">
        <x:f>IF(OR(H84="Ikke spillet",H84="Planlagt"),"",IF(OR(G84="",H84="",P84="",Q84=""),"",IF(AND(F84="Ungdomsholdturnering",OR(G84="Double",G84="Mix"),H84="Tabt"),0,IF(H84="Vundet",IF(R84&gt;0,VLOOKUP(ABS(R84),'BD Pointtabel'!$A$4:$G$15,4,TRUE),VLOOKUP(ABS(R84),'BD Pointtabel'!$A$4:$G$15,7,TRUE)),IF(R84&gt;=0,VLOOKUP(ABS(R84),'BD Pointtabel'!$A$4:$G$15,6,TRUE),VLOOKUP(ABS(R84),'BD Pointtabel'!$A$4:$G$15,3,TRUE))))))</x:f>
      </x:c>
      <x:c r="V84" s="62" t="str">
        <x:f>IF(G84="","",SUMIFS($U$10:U84,$AG$10:AG84,AG84,$G$10:G84,G84))</x:f>
      </x:c>
      <x:c r="W84" s="62" t="str">
        <x:f>IF(C84="","",IF(AN84&lt;&gt;1,"",IF(G84="Single",AA84,IF(G84="Double",AC84,AE84))))</x:f>
      </x:c>
      <x:c r="X84" s="62" t="str">
        <x:f>IF(C84="","",IF(AN84&lt;&gt;1,"",ROUND(((AA84*AB84+AC84*AD84+AE84*AF84)/(AB84+AD84+AF84))+IF((MAX(AA84,AC84,AE84)-(AA84+AC84+AE84-MAX(AA84,AC84,AE84)-MIN(AA84,AC84,AE84)))&lt;'Model &amp; indstillinger'!$E$16,'Model &amp; indstillinger'!$E$18,'Model &amp; indstillinger'!$E$20)*(MAX(AA84,AC84,AE84)-((AA84*AB84+AC84*AD84+AE84*AF84)/(AB84+AD84+AF84))),0)))</x:f>
      </x:c>
      <x:c r="Y84" s="62" t="str">
        <x:f>IF(X84="","",'Model &amp; indstillinger'!$B$4-X84)</x:f>
      </x:c>
      <x:c r="Z84" s="62" t="str">
        <x:f>IF(C84="","",IF(H84="Planlagt","Planlagt – ingen point endnu",IF(H84="Ikke spillet","Ikke spillet – tæller ikke som kamp og giver ingen point",IF(AN84=1,"STÆVNE SLUT – samlet point tilskrives","Frosset pointgrundlag – ingen tilskrivning endnu"))))</x:f>
      </x:c>
      <x:c r="AA84" s="60" t="str">
        <x:f>IF(C84="","",'Model &amp; indstillinger'!$B$6+SUMIFS($U$10:U84,$G$10:G84,"Single"))</x:f>
      </x:c>
      <x:c r="AB84" s="60" t="str">
        <x:f>IF(C84="","",'Model &amp; indstillinger'!$B$7+COUNTIFS($G$10:G84,"Single",$AK$10:AK84,1))</x:f>
      </x:c>
      <x:c r="AC84" s="60" t="str">
        <x:f>IF(C84="","",'Model &amp; indstillinger'!$B$8+SUMIFS($U$10:U84,$G$10:G84,"Double"))</x:f>
      </x:c>
      <x:c r="AD84" s="60" t="str">
        <x:f>IF(C84="","",'Model &amp; indstillinger'!$B$9+COUNTIFS($G$10:G84,"Double",$AK$10:AK84,1))</x:f>
      </x:c>
      <x:c r="AE84" s="60" t="str">
        <x:f>IF(C84="","",'Model &amp; indstillinger'!$B$10+SUMIFS($U$10:U84,$G$10:G84,"Mix"))</x:f>
      </x:c>
      <x:c r="AF84" s="60" t="str">
        <x:f>IF(C84="","",'Model &amp; indstillinger'!$B$11+COUNTIFS($G$10:G84,"Mix",$AK$10:AK84,1))</x:f>
      </x:c>
      <x:c r="AG84" s="60" t="str">
        <x:f>IF(C84="","",IF(C84=C83,AG83,AG83+1))</x:f>
      </x:c>
      <x:c r="AH84" s="60" t="str">
        <x:f>IF(C84="","",IF(AG84=AG83,AH83,AA83))</x:f>
      </x:c>
      <x:c r="AI84" s="60" t="str">
        <x:f>IF(C84="","",IF(AG84=AG83,AI83,AC83))</x:f>
      </x:c>
      <x:c r="AJ84" s="60" t="str">
        <x:f>IF(C84="","",IF(AG84=AG83,AJ83,AE83))</x:f>
      </x:c>
      <x:c r="AK84" s="60" t="n">
        <x:f>IF(OR(H84="Vundet",H84="Tabt"),1,0)</x:f>
        <x:v>0</x:v>
      </x:c>
      <x:c r="AL84" s="60" t="n"/>
      <x:c r="AM84" s="60" t="n">
        <x:f>MAX($AG$10:$AG$209)</x:f>
        <x:v>4</x:v>
      </x:c>
      <x:c r="AN84" s="60" t="str">
        <x:f>IF(C84="","",IF(AND(C85&lt;&gt;"",C85&lt;&gt;C84),1,0))</x:f>
      </x:c>
      <x:c r="AO84" s="60" t="n"/>
      <x:c r="AP84" s="60" t="n">
        <x:f>MAX($AG$10:$AG$209)</x:f>
        <x:v>4</x:v>
      </x:c>
      <x:c r="AQ84" t="str">
        <x:f>AG84</x:f>
      </x:c>
      <x:c r="AR84" t="n">
        <x:f>C84</x:f>
        <x:v>0</x:v>
      </x:c>
      <x:c r="AS84" t="n">
        <x:f>E84</x:f>
        <x:v>0</x:v>
      </x:c>
    </x:row>
    <x:row r="85">
      <x:c r="A85" s="60" t="str">
        <x:f>IF(C85="","",COUNTIF($C$10:C85,"&lt;&gt;"))</x:f>
      </x:c>
      <x:c r="B85" s="122" t="n"/>
      <x:c r="C85" s="87" t="n"/>
      <x:c r="D85" s="87" t="n"/>
      <x:c r="E85" s="87" t="n"/>
      <x:c r="F85" s="87" t="n"/>
      <x:c r="G85" s="87" t="n"/>
      <x:c r="H85" s="87" t="n"/>
      <x:c r="I85" s="87" t="n"/>
      <x:c r="J85" s="87" t="n"/>
      <x:c r="K85" s="87" t="n"/>
      <x:c r="L85" s="87" t="n"/>
      <x:c r="M85" s="87" t="n"/>
      <x:c r="N85" s="87" t="n"/>
      <x:c r="O85" s="62" t="str">
        <x:f>IF(G85="","",IF(G85="Single",AH85,IF(G85="Double",AI85,AJ85)))</x:f>
      </x:c>
      <x:c r="P85" s="62" t="str">
        <x:f>IF(OR(G85="",H85="Ikke spillet"),"",IF(G85="Single",O85,IF(J85="","",(O85+J85)/2)))</x:f>
      </x:c>
      <x:c r="Q85" s="62" t="str">
        <x:f>IF(OR(G85="",H85="Ikke spillet"),"",IF(G85="Single",L85,IF(OR(L85="",N85=""),"",(L85+N85)/2)))</x:f>
      </x:c>
      <x:c r="R85" s="62" t="str">
        <x:f>IF(OR(P85="",Q85=""),"",Q85-P85)</x:f>
      </x:c>
      <x:c r="S85" s="62" t="str">
        <x:f>IF(H85="Ikke spillet","",IF(R85="","",IF(ABS(R85)&lt;0.000001,"Lige (0)",VLOOKUP(ABS(R85),'BD Pointtabel'!$A$4:$G$15,2,TRUE))))</x:f>
      </x:c>
      <x:c r="T85" s="62" t="str">
        <x:f>IF(H85="Ikke spillet","Ikke spillet",IF(H85="Planlagt","Planlagt",IF(OR(H85="",P85="",Q85=""),"",IF(H85="Vundet",IF(R85&gt;0,"Uventet sejr","Ventet sejr"),IF(R85&gt;=0,"Ventet nederlag","Uventet nederlag")))))</x:f>
      </x:c>
      <x:c r="U85" s="62" t="str">
        <x:f>IF(OR(H85="Ikke spillet",H85="Planlagt"),"",IF(OR(G85="",H85="",P85="",Q85=""),"",IF(AND(F85="Ungdomsholdturnering",OR(G85="Double",G85="Mix"),H85="Tabt"),0,IF(H85="Vundet",IF(R85&gt;0,VLOOKUP(ABS(R85),'BD Pointtabel'!$A$4:$G$15,4,TRUE),VLOOKUP(ABS(R85),'BD Pointtabel'!$A$4:$G$15,7,TRUE)),IF(R85&gt;=0,VLOOKUP(ABS(R85),'BD Pointtabel'!$A$4:$G$15,6,TRUE),VLOOKUP(ABS(R85),'BD Pointtabel'!$A$4:$G$15,3,TRUE))))))</x:f>
      </x:c>
      <x:c r="V85" s="62" t="str">
        <x:f>IF(G85="","",SUMIFS($U$10:U85,$AG$10:AG85,AG85,$G$10:G85,G85))</x:f>
      </x:c>
      <x:c r="W85" s="62" t="str">
        <x:f>IF(C85="","",IF(AN85&lt;&gt;1,"",IF(G85="Single",AA85,IF(G85="Double",AC85,AE85))))</x:f>
      </x:c>
      <x:c r="X85" s="62" t="str">
        <x:f>IF(C85="","",IF(AN85&lt;&gt;1,"",ROUND(((AA85*AB85+AC85*AD85+AE85*AF85)/(AB85+AD85+AF85))+IF((MAX(AA85,AC85,AE85)-(AA85+AC85+AE85-MAX(AA85,AC85,AE85)-MIN(AA85,AC85,AE85)))&lt;'Model &amp; indstillinger'!$E$16,'Model &amp; indstillinger'!$E$18,'Model &amp; indstillinger'!$E$20)*(MAX(AA85,AC85,AE85)-((AA85*AB85+AC85*AD85+AE85*AF85)/(AB85+AD85+AF85))),0)))</x:f>
      </x:c>
      <x:c r="Y85" s="62" t="str">
        <x:f>IF(X85="","",'Model &amp; indstillinger'!$B$4-X85)</x:f>
      </x:c>
      <x:c r="Z85" s="62" t="str">
        <x:f>IF(C85="","",IF(H85="Planlagt","Planlagt – ingen point endnu",IF(H85="Ikke spillet","Ikke spillet – tæller ikke som kamp og giver ingen point",IF(AN85=1,"STÆVNE SLUT – samlet point tilskrives","Frosset pointgrundlag – ingen tilskrivning endnu"))))</x:f>
      </x:c>
      <x:c r="AA85" s="60" t="str">
        <x:f>IF(C85="","",'Model &amp; indstillinger'!$B$6+SUMIFS($U$10:U85,$G$10:G85,"Single"))</x:f>
      </x:c>
      <x:c r="AB85" s="60" t="str">
        <x:f>IF(C85="","",'Model &amp; indstillinger'!$B$7+COUNTIFS($G$10:G85,"Single",$AK$10:AK85,1))</x:f>
      </x:c>
      <x:c r="AC85" s="60" t="str">
        <x:f>IF(C85="","",'Model &amp; indstillinger'!$B$8+SUMIFS($U$10:U85,$G$10:G85,"Double"))</x:f>
      </x:c>
      <x:c r="AD85" s="60" t="str">
        <x:f>IF(C85="","",'Model &amp; indstillinger'!$B$9+COUNTIFS($G$10:G85,"Double",$AK$10:AK85,1))</x:f>
      </x:c>
      <x:c r="AE85" s="60" t="str">
        <x:f>IF(C85="","",'Model &amp; indstillinger'!$B$10+SUMIFS($U$10:U85,$G$10:G85,"Mix"))</x:f>
      </x:c>
      <x:c r="AF85" s="60" t="str">
        <x:f>IF(C85="","",'Model &amp; indstillinger'!$B$11+COUNTIFS($G$10:G85,"Mix",$AK$10:AK85,1))</x:f>
      </x:c>
      <x:c r="AG85" s="60" t="str">
        <x:f>IF(C85="","",IF(C85=C84,AG84,AG84+1))</x:f>
      </x:c>
      <x:c r="AH85" s="60" t="str">
        <x:f>IF(C85="","",IF(AG85=AG84,AH84,AA84))</x:f>
      </x:c>
      <x:c r="AI85" s="60" t="str">
        <x:f>IF(C85="","",IF(AG85=AG84,AI84,AC84))</x:f>
      </x:c>
      <x:c r="AJ85" s="60" t="str">
        <x:f>IF(C85="","",IF(AG85=AG84,AJ84,AE84))</x:f>
      </x:c>
      <x:c r="AK85" s="60" t="n">
        <x:f>IF(OR(H85="Vundet",H85="Tabt"),1,0)</x:f>
        <x:v>0</x:v>
      </x:c>
      <x:c r="AL85" s="60" t="n"/>
      <x:c r="AM85" s="60" t="n">
        <x:f>MAX($AG$10:$AG$209)</x:f>
        <x:v>4</x:v>
      </x:c>
      <x:c r="AN85" s="60" t="str">
        <x:f>IF(C85="","",IF(AND(C86&lt;&gt;"",C86&lt;&gt;C85),1,0))</x:f>
      </x:c>
      <x:c r="AO85" s="60" t="n"/>
      <x:c r="AP85" s="60" t="n">
        <x:f>MAX($AG$10:$AG$209)</x:f>
        <x:v>4</x:v>
      </x:c>
      <x:c r="AQ85" t="str">
        <x:f>AG85</x:f>
      </x:c>
      <x:c r="AR85" t="n">
        <x:f>C85</x:f>
        <x:v>0</x:v>
      </x:c>
      <x:c r="AS85" t="n">
        <x:f>E85</x:f>
        <x:v>0</x:v>
      </x:c>
    </x:row>
    <x:row r="86">
      <x:c r="A86" s="60" t="str">
        <x:f>IF(C86="","",COUNTIF($C$10:C86,"&lt;&gt;"))</x:f>
      </x:c>
      <x:c r="B86" s="122" t="n"/>
      <x:c r="C86" s="87" t="n"/>
      <x:c r="D86" s="87" t="n"/>
      <x:c r="E86" s="87" t="n"/>
      <x:c r="F86" s="87" t="n"/>
      <x:c r="G86" s="87" t="n"/>
      <x:c r="H86" s="87" t="n"/>
      <x:c r="I86" s="87" t="n"/>
      <x:c r="J86" s="87" t="n"/>
      <x:c r="K86" s="87" t="n"/>
      <x:c r="L86" s="87" t="n"/>
      <x:c r="M86" s="87" t="n"/>
      <x:c r="N86" s="87" t="n"/>
      <x:c r="O86" s="62" t="str">
        <x:f>IF(G86="","",IF(G86="Single",AH86,IF(G86="Double",AI86,AJ86)))</x:f>
      </x:c>
      <x:c r="P86" s="62" t="str">
        <x:f>IF(OR(G86="",H86="Ikke spillet"),"",IF(G86="Single",O86,IF(J86="","",(O86+J86)/2)))</x:f>
      </x:c>
      <x:c r="Q86" s="62" t="str">
        <x:f>IF(OR(G86="",H86="Ikke spillet"),"",IF(G86="Single",L86,IF(OR(L86="",N86=""),"",(L86+N86)/2)))</x:f>
      </x:c>
      <x:c r="R86" s="62" t="str">
        <x:f>IF(OR(P86="",Q86=""),"",Q86-P86)</x:f>
      </x:c>
      <x:c r="S86" s="62" t="str">
        <x:f>IF(H86="Ikke spillet","",IF(R86="","",IF(ABS(R86)&lt;0.000001,"Lige (0)",VLOOKUP(ABS(R86),'BD Pointtabel'!$A$4:$G$15,2,TRUE))))</x:f>
      </x:c>
      <x:c r="T86" s="62" t="str">
        <x:f>IF(H86="Ikke spillet","Ikke spillet",IF(H86="Planlagt","Planlagt",IF(OR(H86="",P86="",Q86=""),"",IF(H86="Vundet",IF(R86&gt;0,"Uventet sejr","Ventet sejr"),IF(R86&gt;=0,"Ventet nederlag","Uventet nederlag")))))</x:f>
      </x:c>
      <x:c r="U86" s="62" t="str">
        <x:f>IF(OR(H86="Ikke spillet",H86="Planlagt"),"",IF(OR(G86="",H86="",P86="",Q86=""),"",IF(AND(F86="Ungdomsholdturnering",OR(G86="Double",G86="Mix"),H86="Tabt"),0,IF(H86="Vundet",IF(R86&gt;0,VLOOKUP(ABS(R86),'BD Pointtabel'!$A$4:$G$15,4,TRUE),VLOOKUP(ABS(R86),'BD Pointtabel'!$A$4:$G$15,7,TRUE)),IF(R86&gt;=0,VLOOKUP(ABS(R86),'BD Pointtabel'!$A$4:$G$15,6,TRUE),VLOOKUP(ABS(R86),'BD Pointtabel'!$A$4:$G$15,3,TRUE))))))</x:f>
      </x:c>
      <x:c r="V86" s="62" t="str">
        <x:f>IF(G86="","",SUMIFS($U$10:U86,$AG$10:AG86,AG86,$G$10:G86,G86))</x:f>
      </x:c>
      <x:c r="W86" s="62" t="str">
        <x:f>IF(C86="","",IF(AN86&lt;&gt;1,"",IF(G86="Single",AA86,IF(G86="Double",AC86,AE86))))</x:f>
      </x:c>
      <x:c r="X86" s="62" t="str">
        <x:f>IF(C86="","",IF(AN86&lt;&gt;1,"",ROUND(((AA86*AB86+AC86*AD86+AE86*AF86)/(AB86+AD86+AF86))+IF((MAX(AA86,AC86,AE86)-(AA86+AC86+AE86-MAX(AA86,AC86,AE86)-MIN(AA86,AC86,AE86)))&lt;'Model &amp; indstillinger'!$E$16,'Model &amp; indstillinger'!$E$18,'Model &amp; indstillinger'!$E$20)*(MAX(AA86,AC86,AE86)-((AA86*AB86+AC86*AD86+AE86*AF86)/(AB86+AD86+AF86))),0)))</x:f>
      </x:c>
      <x:c r="Y86" s="62" t="str">
        <x:f>IF(X86="","",'Model &amp; indstillinger'!$B$4-X86)</x:f>
      </x:c>
      <x:c r="Z86" s="62" t="str">
        <x:f>IF(C86="","",IF(H86="Planlagt","Planlagt – ingen point endnu",IF(H86="Ikke spillet","Ikke spillet – tæller ikke som kamp og giver ingen point",IF(AN86=1,"STÆVNE SLUT – samlet point tilskrives","Frosset pointgrundlag – ingen tilskrivning endnu"))))</x:f>
      </x:c>
      <x:c r="AA86" s="60" t="str">
        <x:f>IF(C86="","",'Model &amp; indstillinger'!$B$6+SUMIFS($U$10:U86,$G$10:G86,"Single"))</x:f>
      </x:c>
      <x:c r="AB86" s="60" t="str">
        <x:f>IF(C86="","",'Model &amp; indstillinger'!$B$7+COUNTIFS($G$10:G86,"Single",$AK$10:AK86,1))</x:f>
      </x:c>
      <x:c r="AC86" s="60" t="str">
        <x:f>IF(C86="","",'Model &amp; indstillinger'!$B$8+SUMIFS($U$10:U86,$G$10:G86,"Double"))</x:f>
      </x:c>
      <x:c r="AD86" s="60" t="str">
        <x:f>IF(C86="","",'Model &amp; indstillinger'!$B$9+COUNTIFS($G$10:G86,"Double",$AK$10:AK86,1))</x:f>
      </x:c>
      <x:c r="AE86" s="60" t="str">
        <x:f>IF(C86="","",'Model &amp; indstillinger'!$B$10+SUMIFS($U$10:U86,$G$10:G86,"Mix"))</x:f>
      </x:c>
      <x:c r="AF86" s="60" t="str">
        <x:f>IF(C86="","",'Model &amp; indstillinger'!$B$11+COUNTIFS($G$10:G86,"Mix",$AK$10:AK86,1))</x:f>
      </x:c>
      <x:c r="AG86" s="60" t="str">
        <x:f>IF(C86="","",IF(C86=C85,AG85,AG85+1))</x:f>
      </x:c>
      <x:c r="AH86" s="60" t="str">
        <x:f>IF(C86="","",IF(AG86=AG85,AH85,AA85))</x:f>
      </x:c>
      <x:c r="AI86" s="60" t="str">
        <x:f>IF(C86="","",IF(AG86=AG85,AI85,AC85))</x:f>
      </x:c>
      <x:c r="AJ86" s="60" t="str">
        <x:f>IF(C86="","",IF(AG86=AG85,AJ85,AE85))</x:f>
      </x:c>
      <x:c r="AK86" s="60" t="n">
        <x:f>IF(OR(H86="Vundet",H86="Tabt"),1,0)</x:f>
        <x:v>0</x:v>
      </x:c>
      <x:c r="AL86" s="60" t="n"/>
      <x:c r="AM86" s="60" t="n">
        <x:f>MAX($AG$10:$AG$209)</x:f>
        <x:v>4</x:v>
      </x:c>
      <x:c r="AN86" s="60" t="str">
        <x:f>IF(C86="","",IF(AND(C87&lt;&gt;"",C87&lt;&gt;C86),1,0))</x:f>
      </x:c>
      <x:c r="AO86" s="60" t="n"/>
      <x:c r="AP86" s="60" t="n">
        <x:f>MAX($AG$10:$AG$209)</x:f>
        <x:v>4</x:v>
      </x:c>
      <x:c r="AQ86" t="str">
        <x:f>AG86</x:f>
      </x:c>
      <x:c r="AR86" t="n">
        <x:f>C86</x:f>
        <x:v>0</x:v>
      </x:c>
      <x:c r="AS86" t="n">
        <x:f>E86</x:f>
        <x:v>0</x:v>
      </x:c>
    </x:row>
    <x:row r="87">
      <x:c r="A87" s="60" t="str">
        <x:f>IF(C87="","",COUNTIF($C$10:C87,"&lt;&gt;"))</x:f>
      </x:c>
      <x:c r="B87" s="122" t="n"/>
      <x:c r="C87" s="87" t="n"/>
      <x:c r="D87" s="87" t="n"/>
      <x:c r="E87" s="87" t="n"/>
      <x:c r="F87" s="87" t="n"/>
      <x:c r="G87" s="87" t="n"/>
      <x:c r="H87" s="87" t="n"/>
      <x:c r="I87" s="87" t="n"/>
      <x:c r="J87" s="87" t="n"/>
      <x:c r="K87" s="87" t="n"/>
      <x:c r="L87" s="87" t="n"/>
      <x:c r="M87" s="87" t="n"/>
      <x:c r="N87" s="87" t="n"/>
      <x:c r="O87" s="62" t="str">
        <x:f>IF(G87="","",IF(G87="Single",AH87,IF(G87="Double",AI87,AJ87)))</x:f>
      </x:c>
      <x:c r="P87" s="62" t="str">
        <x:f>IF(OR(G87="",H87="Ikke spillet"),"",IF(G87="Single",O87,IF(J87="","",(O87+J87)/2)))</x:f>
      </x:c>
      <x:c r="Q87" s="62" t="str">
        <x:f>IF(OR(G87="",H87="Ikke spillet"),"",IF(G87="Single",L87,IF(OR(L87="",N87=""),"",(L87+N87)/2)))</x:f>
      </x:c>
      <x:c r="R87" s="62" t="str">
        <x:f>IF(OR(P87="",Q87=""),"",Q87-P87)</x:f>
      </x:c>
      <x:c r="S87" s="62" t="str">
        <x:f>IF(H87="Ikke spillet","",IF(R87="","",IF(ABS(R87)&lt;0.000001,"Lige (0)",VLOOKUP(ABS(R87),'BD Pointtabel'!$A$4:$G$15,2,TRUE))))</x:f>
      </x:c>
      <x:c r="T87" s="62" t="str">
        <x:f>IF(H87="Ikke spillet","Ikke spillet",IF(H87="Planlagt","Planlagt",IF(OR(H87="",P87="",Q87=""),"",IF(H87="Vundet",IF(R87&gt;0,"Uventet sejr","Ventet sejr"),IF(R87&gt;=0,"Ventet nederlag","Uventet nederlag")))))</x:f>
      </x:c>
      <x:c r="U87" s="62" t="str">
        <x:f>IF(OR(H87="Ikke spillet",H87="Planlagt"),"",IF(OR(G87="",H87="",P87="",Q87=""),"",IF(AND(F87="Ungdomsholdturnering",OR(G87="Double",G87="Mix"),H87="Tabt"),0,IF(H87="Vundet",IF(R87&gt;0,VLOOKUP(ABS(R87),'BD Pointtabel'!$A$4:$G$15,4,TRUE),VLOOKUP(ABS(R87),'BD Pointtabel'!$A$4:$G$15,7,TRUE)),IF(R87&gt;=0,VLOOKUP(ABS(R87),'BD Pointtabel'!$A$4:$G$15,6,TRUE),VLOOKUP(ABS(R87),'BD Pointtabel'!$A$4:$G$15,3,TRUE))))))</x:f>
      </x:c>
      <x:c r="V87" s="62" t="str">
        <x:f>IF(G87="","",SUMIFS($U$10:U87,$AG$10:AG87,AG87,$G$10:G87,G87))</x:f>
      </x:c>
      <x:c r="W87" s="62" t="str">
        <x:f>IF(C87="","",IF(AN87&lt;&gt;1,"",IF(G87="Single",AA87,IF(G87="Double",AC87,AE87))))</x:f>
      </x:c>
      <x:c r="X87" s="62" t="str">
        <x:f>IF(C87="","",IF(AN87&lt;&gt;1,"",ROUND(((AA87*AB87+AC87*AD87+AE87*AF87)/(AB87+AD87+AF87))+IF((MAX(AA87,AC87,AE87)-(AA87+AC87+AE87-MAX(AA87,AC87,AE87)-MIN(AA87,AC87,AE87)))&lt;'Model &amp; indstillinger'!$E$16,'Model &amp; indstillinger'!$E$18,'Model &amp; indstillinger'!$E$20)*(MAX(AA87,AC87,AE87)-((AA87*AB87+AC87*AD87+AE87*AF87)/(AB87+AD87+AF87))),0)))</x:f>
      </x:c>
      <x:c r="Y87" s="62" t="str">
        <x:f>IF(X87="","",'Model &amp; indstillinger'!$B$4-X87)</x:f>
      </x:c>
      <x:c r="Z87" s="62" t="str">
        <x:f>IF(C87="","",IF(H87="Planlagt","Planlagt – ingen point endnu",IF(H87="Ikke spillet","Ikke spillet – tæller ikke som kamp og giver ingen point",IF(AN87=1,"STÆVNE SLUT – samlet point tilskrives","Frosset pointgrundlag – ingen tilskrivning endnu"))))</x:f>
      </x:c>
      <x:c r="AA87" s="60" t="str">
        <x:f>IF(C87="","",'Model &amp; indstillinger'!$B$6+SUMIFS($U$10:U87,$G$10:G87,"Single"))</x:f>
      </x:c>
      <x:c r="AB87" s="60" t="str">
        <x:f>IF(C87="","",'Model &amp; indstillinger'!$B$7+COUNTIFS($G$10:G87,"Single",$AK$10:AK87,1))</x:f>
      </x:c>
      <x:c r="AC87" s="60" t="str">
        <x:f>IF(C87="","",'Model &amp; indstillinger'!$B$8+SUMIFS($U$10:U87,$G$10:G87,"Double"))</x:f>
      </x:c>
      <x:c r="AD87" s="60" t="str">
        <x:f>IF(C87="","",'Model &amp; indstillinger'!$B$9+COUNTIFS($G$10:G87,"Double",$AK$10:AK87,1))</x:f>
      </x:c>
      <x:c r="AE87" s="60" t="str">
        <x:f>IF(C87="","",'Model &amp; indstillinger'!$B$10+SUMIFS($U$10:U87,$G$10:G87,"Mix"))</x:f>
      </x:c>
      <x:c r="AF87" s="60" t="str">
        <x:f>IF(C87="","",'Model &amp; indstillinger'!$B$11+COUNTIFS($G$10:G87,"Mix",$AK$10:AK87,1))</x:f>
      </x:c>
      <x:c r="AG87" s="60" t="str">
        <x:f>IF(C87="","",IF(C87=C86,AG86,AG86+1))</x:f>
      </x:c>
      <x:c r="AH87" s="60" t="str">
        <x:f>IF(C87="","",IF(AG87=AG86,AH86,AA86))</x:f>
      </x:c>
      <x:c r="AI87" s="60" t="str">
        <x:f>IF(C87="","",IF(AG87=AG86,AI86,AC86))</x:f>
      </x:c>
      <x:c r="AJ87" s="60" t="str">
        <x:f>IF(C87="","",IF(AG87=AG86,AJ86,AE86))</x:f>
      </x:c>
      <x:c r="AK87" s="60" t="n">
        <x:f>IF(OR(H87="Vundet",H87="Tabt"),1,0)</x:f>
        <x:v>0</x:v>
      </x:c>
      <x:c r="AL87" s="60" t="n"/>
      <x:c r="AM87" s="60" t="n">
        <x:f>MAX($AG$10:$AG$209)</x:f>
        <x:v>4</x:v>
      </x:c>
      <x:c r="AN87" s="60" t="str">
        <x:f>IF(C87="","",IF(AND(C88&lt;&gt;"",C88&lt;&gt;C87),1,0))</x:f>
      </x:c>
      <x:c r="AO87" s="60" t="n"/>
      <x:c r="AP87" s="60" t="n">
        <x:f>MAX($AG$10:$AG$209)</x:f>
        <x:v>4</x:v>
      </x:c>
      <x:c r="AQ87" t="str">
        <x:f>AG87</x:f>
      </x:c>
      <x:c r="AR87" t="n">
        <x:f>C87</x:f>
        <x:v>0</x:v>
      </x:c>
      <x:c r="AS87" t="n">
        <x:f>E87</x:f>
        <x:v>0</x:v>
      </x:c>
    </x:row>
    <x:row r="88">
      <x:c r="A88" s="60" t="str">
        <x:f>IF(C88="","",COUNTIF($C$10:C88,"&lt;&gt;"))</x:f>
      </x:c>
      <x:c r="B88" s="122" t="n"/>
      <x:c r="C88" s="87" t="n"/>
      <x:c r="D88" s="87" t="n"/>
      <x:c r="E88" s="87" t="n"/>
      <x:c r="F88" s="87" t="n"/>
      <x:c r="G88" s="87" t="n"/>
      <x:c r="H88" s="87" t="n"/>
      <x:c r="I88" s="87" t="n"/>
      <x:c r="J88" s="87" t="n"/>
      <x:c r="K88" s="87" t="n"/>
      <x:c r="L88" s="87" t="n"/>
      <x:c r="M88" s="87" t="n"/>
      <x:c r="N88" s="87" t="n"/>
      <x:c r="O88" s="62" t="str">
        <x:f>IF(G88="","",IF(G88="Single",AH88,IF(G88="Double",AI88,AJ88)))</x:f>
      </x:c>
      <x:c r="P88" s="62" t="str">
        <x:f>IF(OR(G88="",H88="Ikke spillet"),"",IF(G88="Single",O88,IF(J88="","",(O88+J88)/2)))</x:f>
      </x:c>
      <x:c r="Q88" s="62" t="str">
        <x:f>IF(OR(G88="",H88="Ikke spillet"),"",IF(G88="Single",L88,IF(OR(L88="",N88=""),"",(L88+N88)/2)))</x:f>
      </x:c>
      <x:c r="R88" s="62" t="str">
        <x:f>IF(OR(P88="",Q88=""),"",Q88-P88)</x:f>
      </x:c>
      <x:c r="S88" s="62" t="str">
        <x:f>IF(H88="Ikke spillet","",IF(R88="","",IF(ABS(R88)&lt;0.000001,"Lige (0)",VLOOKUP(ABS(R88),'BD Pointtabel'!$A$4:$G$15,2,TRUE))))</x:f>
      </x:c>
      <x:c r="T88" s="62" t="str">
        <x:f>IF(H88="Ikke spillet","Ikke spillet",IF(H88="Planlagt","Planlagt",IF(OR(H88="",P88="",Q88=""),"",IF(H88="Vundet",IF(R88&gt;0,"Uventet sejr","Ventet sejr"),IF(R88&gt;=0,"Ventet nederlag","Uventet nederlag")))))</x:f>
      </x:c>
      <x:c r="U88" s="62" t="str">
        <x:f>IF(OR(H88="Ikke spillet",H88="Planlagt"),"",IF(OR(G88="",H88="",P88="",Q88=""),"",IF(AND(F88="Ungdomsholdturnering",OR(G88="Double",G88="Mix"),H88="Tabt"),0,IF(H88="Vundet",IF(R88&gt;0,VLOOKUP(ABS(R88),'BD Pointtabel'!$A$4:$G$15,4,TRUE),VLOOKUP(ABS(R88),'BD Pointtabel'!$A$4:$G$15,7,TRUE)),IF(R88&gt;=0,VLOOKUP(ABS(R88),'BD Pointtabel'!$A$4:$G$15,6,TRUE),VLOOKUP(ABS(R88),'BD Pointtabel'!$A$4:$G$15,3,TRUE))))))</x:f>
      </x:c>
      <x:c r="V88" s="62" t="str">
        <x:f>IF(G88="","",SUMIFS($U$10:U88,$AG$10:AG88,AG88,$G$10:G88,G88))</x:f>
      </x:c>
      <x:c r="W88" s="62" t="str">
        <x:f>IF(C88="","",IF(AN88&lt;&gt;1,"",IF(G88="Single",AA88,IF(G88="Double",AC88,AE88))))</x:f>
      </x:c>
      <x:c r="X88" s="62" t="str">
        <x:f>IF(C88="","",IF(AN88&lt;&gt;1,"",ROUND(((AA88*AB88+AC88*AD88+AE88*AF88)/(AB88+AD88+AF88))+IF((MAX(AA88,AC88,AE88)-(AA88+AC88+AE88-MAX(AA88,AC88,AE88)-MIN(AA88,AC88,AE88)))&lt;'Model &amp; indstillinger'!$E$16,'Model &amp; indstillinger'!$E$18,'Model &amp; indstillinger'!$E$20)*(MAX(AA88,AC88,AE88)-((AA88*AB88+AC88*AD88+AE88*AF88)/(AB88+AD88+AF88))),0)))</x:f>
      </x:c>
      <x:c r="Y88" s="62" t="str">
        <x:f>IF(X88="","",'Model &amp; indstillinger'!$B$4-X88)</x:f>
      </x:c>
      <x:c r="Z88" s="62" t="str">
        <x:f>IF(C88="","",IF(H88="Planlagt","Planlagt – ingen point endnu",IF(H88="Ikke spillet","Ikke spillet – tæller ikke som kamp og giver ingen point",IF(AN88=1,"STÆVNE SLUT – samlet point tilskrives","Frosset pointgrundlag – ingen tilskrivning endnu"))))</x:f>
      </x:c>
      <x:c r="AA88" s="60" t="str">
        <x:f>IF(C88="","",'Model &amp; indstillinger'!$B$6+SUMIFS($U$10:U88,$G$10:G88,"Single"))</x:f>
      </x:c>
      <x:c r="AB88" s="60" t="str">
        <x:f>IF(C88="","",'Model &amp; indstillinger'!$B$7+COUNTIFS($G$10:G88,"Single",$AK$10:AK88,1))</x:f>
      </x:c>
      <x:c r="AC88" s="60" t="str">
        <x:f>IF(C88="","",'Model &amp; indstillinger'!$B$8+SUMIFS($U$10:U88,$G$10:G88,"Double"))</x:f>
      </x:c>
      <x:c r="AD88" s="60" t="str">
        <x:f>IF(C88="","",'Model &amp; indstillinger'!$B$9+COUNTIFS($G$10:G88,"Double",$AK$10:AK88,1))</x:f>
      </x:c>
      <x:c r="AE88" s="60" t="str">
        <x:f>IF(C88="","",'Model &amp; indstillinger'!$B$10+SUMIFS($U$10:U88,$G$10:G88,"Mix"))</x:f>
      </x:c>
      <x:c r="AF88" s="60" t="str">
        <x:f>IF(C88="","",'Model &amp; indstillinger'!$B$11+COUNTIFS($G$10:G88,"Mix",$AK$10:AK88,1))</x:f>
      </x:c>
      <x:c r="AG88" s="60" t="str">
        <x:f>IF(C88="","",IF(C88=C87,AG87,AG87+1))</x:f>
      </x:c>
      <x:c r="AH88" s="60" t="str">
        <x:f>IF(C88="","",IF(AG88=AG87,AH87,AA87))</x:f>
      </x:c>
      <x:c r="AI88" s="60" t="str">
        <x:f>IF(C88="","",IF(AG88=AG87,AI87,AC87))</x:f>
      </x:c>
      <x:c r="AJ88" s="60" t="str">
        <x:f>IF(C88="","",IF(AG88=AG87,AJ87,AE87))</x:f>
      </x:c>
      <x:c r="AK88" s="60" t="n">
        <x:f>IF(OR(H88="Vundet",H88="Tabt"),1,0)</x:f>
        <x:v>0</x:v>
      </x:c>
      <x:c r="AL88" s="60" t="n"/>
      <x:c r="AM88" s="60" t="n">
        <x:f>MAX($AG$10:$AG$209)</x:f>
        <x:v>4</x:v>
      </x:c>
      <x:c r="AN88" s="60" t="str">
        <x:f>IF(C88="","",IF(AND(C89&lt;&gt;"",C89&lt;&gt;C88),1,0))</x:f>
      </x:c>
      <x:c r="AO88" s="60" t="n"/>
      <x:c r="AP88" s="60" t="n">
        <x:f>MAX($AG$10:$AG$209)</x:f>
        <x:v>4</x:v>
      </x:c>
      <x:c r="AQ88" t="str">
        <x:f>AG88</x:f>
      </x:c>
      <x:c r="AR88" t="n">
        <x:f>C88</x:f>
        <x:v>0</x:v>
      </x:c>
      <x:c r="AS88" t="n">
        <x:f>E88</x:f>
        <x:v>0</x:v>
      </x:c>
    </x:row>
    <x:row r="89">
      <x:c r="A89" s="60" t="str">
        <x:f>IF(C89="","",COUNTIF($C$10:C89,"&lt;&gt;"))</x:f>
      </x:c>
      <x:c r="B89" s="122" t="n"/>
      <x:c r="C89" s="87" t="n"/>
      <x:c r="D89" s="87" t="n"/>
      <x:c r="E89" s="87" t="n"/>
      <x:c r="F89" s="87" t="n"/>
      <x:c r="G89" s="87" t="n"/>
      <x:c r="H89" s="87" t="n"/>
      <x:c r="I89" s="87" t="n"/>
      <x:c r="J89" s="87" t="n"/>
      <x:c r="K89" s="87" t="n"/>
      <x:c r="L89" s="87" t="n"/>
      <x:c r="M89" s="87" t="n"/>
      <x:c r="N89" s="87" t="n"/>
      <x:c r="O89" s="62" t="str">
        <x:f>IF(G89="","",IF(G89="Single",AH89,IF(G89="Double",AI89,AJ89)))</x:f>
      </x:c>
      <x:c r="P89" s="62" t="str">
        <x:f>IF(OR(G89="",H89="Ikke spillet"),"",IF(G89="Single",O89,IF(J89="","",(O89+J89)/2)))</x:f>
      </x:c>
      <x:c r="Q89" s="62" t="str">
        <x:f>IF(OR(G89="",H89="Ikke spillet"),"",IF(G89="Single",L89,IF(OR(L89="",N89=""),"",(L89+N89)/2)))</x:f>
      </x:c>
      <x:c r="R89" s="62" t="str">
        <x:f>IF(OR(P89="",Q89=""),"",Q89-P89)</x:f>
      </x:c>
      <x:c r="S89" s="62" t="str">
        <x:f>IF(H89="Ikke spillet","",IF(R89="","",IF(ABS(R89)&lt;0.000001,"Lige (0)",VLOOKUP(ABS(R89),'BD Pointtabel'!$A$4:$G$15,2,TRUE))))</x:f>
      </x:c>
      <x:c r="T89" s="62" t="str">
        <x:f>IF(H89="Ikke spillet","Ikke spillet",IF(H89="Planlagt","Planlagt",IF(OR(H89="",P89="",Q89=""),"",IF(H89="Vundet",IF(R89&gt;0,"Uventet sejr","Ventet sejr"),IF(R89&gt;=0,"Ventet nederlag","Uventet nederlag")))))</x:f>
      </x:c>
      <x:c r="U89" s="62" t="str">
        <x:f>IF(OR(H89="Ikke spillet",H89="Planlagt"),"",IF(OR(G89="",H89="",P89="",Q89=""),"",IF(AND(F89="Ungdomsholdturnering",OR(G89="Double",G89="Mix"),H89="Tabt"),0,IF(H89="Vundet",IF(R89&gt;0,VLOOKUP(ABS(R89),'BD Pointtabel'!$A$4:$G$15,4,TRUE),VLOOKUP(ABS(R89),'BD Pointtabel'!$A$4:$G$15,7,TRUE)),IF(R89&gt;=0,VLOOKUP(ABS(R89),'BD Pointtabel'!$A$4:$G$15,6,TRUE),VLOOKUP(ABS(R89),'BD Pointtabel'!$A$4:$G$15,3,TRUE))))))</x:f>
      </x:c>
      <x:c r="V89" s="62" t="str">
        <x:f>IF(G89="","",SUMIFS($U$10:U89,$AG$10:AG89,AG89,$G$10:G89,G89))</x:f>
      </x:c>
      <x:c r="W89" s="62" t="str">
        <x:f>IF(C89="","",IF(AN89&lt;&gt;1,"",IF(G89="Single",AA89,IF(G89="Double",AC89,AE89))))</x:f>
      </x:c>
      <x:c r="X89" s="62" t="str">
        <x:f>IF(C89="","",IF(AN89&lt;&gt;1,"",ROUND(((AA89*AB89+AC89*AD89+AE89*AF89)/(AB89+AD89+AF89))+IF((MAX(AA89,AC89,AE89)-(AA89+AC89+AE89-MAX(AA89,AC89,AE89)-MIN(AA89,AC89,AE89)))&lt;'Model &amp; indstillinger'!$E$16,'Model &amp; indstillinger'!$E$18,'Model &amp; indstillinger'!$E$20)*(MAX(AA89,AC89,AE89)-((AA89*AB89+AC89*AD89+AE89*AF89)/(AB89+AD89+AF89))),0)))</x:f>
      </x:c>
      <x:c r="Y89" s="62" t="str">
        <x:f>IF(X89="","",'Model &amp; indstillinger'!$B$4-X89)</x:f>
      </x:c>
      <x:c r="Z89" s="62" t="str">
        <x:f>IF(C89="","",IF(H89="Planlagt","Planlagt – ingen point endnu",IF(H89="Ikke spillet","Ikke spillet – tæller ikke som kamp og giver ingen point",IF(AN89=1,"STÆVNE SLUT – samlet point tilskrives","Frosset pointgrundlag – ingen tilskrivning endnu"))))</x:f>
      </x:c>
      <x:c r="AA89" s="60" t="str">
        <x:f>IF(C89="","",'Model &amp; indstillinger'!$B$6+SUMIFS($U$10:U89,$G$10:G89,"Single"))</x:f>
      </x:c>
      <x:c r="AB89" s="60" t="str">
        <x:f>IF(C89="","",'Model &amp; indstillinger'!$B$7+COUNTIFS($G$10:G89,"Single",$AK$10:AK89,1))</x:f>
      </x:c>
      <x:c r="AC89" s="60" t="str">
        <x:f>IF(C89="","",'Model &amp; indstillinger'!$B$8+SUMIFS($U$10:U89,$G$10:G89,"Double"))</x:f>
      </x:c>
      <x:c r="AD89" s="60" t="str">
        <x:f>IF(C89="","",'Model &amp; indstillinger'!$B$9+COUNTIFS($G$10:G89,"Double",$AK$10:AK89,1))</x:f>
      </x:c>
      <x:c r="AE89" s="60" t="str">
        <x:f>IF(C89="","",'Model &amp; indstillinger'!$B$10+SUMIFS($U$10:U89,$G$10:G89,"Mix"))</x:f>
      </x:c>
      <x:c r="AF89" s="60" t="str">
        <x:f>IF(C89="","",'Model &amp; indstillinger'!$B$11+COUNTIFS($G$10:G89,"Mix",$AK$10:AK89,1))</x:f>
      </x:c>
      <x:c r="AG89" s="60" t="str">
        <x:f>IF(C89="","",IF(C89=C88,AG88,AG88+1))</x:f>
      </x:c>
      <x:c r="AH89" s="60" t="str">
        <x:f>IF(C89="","",IF(AG89=AG88,AH88,AA88))</x:f>
      </x:c>
      <x:c r="AI89" s="60" t="str">
        <x:f>IF(C89="","",IF(AG89=AG88,AI88,AC88))</x:f>
      </x:c>
      <x:c r="AJ89" s="60" t="str">
        <x:f>IF(C89="","",IF(AG89=AG88,AJ88,AE88))</x:f>
      </x:c>
      <x:c r="AK89" s="60" t="n">
        <x:f>IF(OR(H89="Vundet",H89="Tabt"),1,0)</x:f>
        <x:v>0</x:v>
      </x:c>
      <x:c r="AL89" s="60" t="n"/>
      <x:c r="AM89" s="60" t="n">
        <x:f>MAX($AG$10:$AG$209)</x:f>
        <x:v>4</x:v>
      </x:c>
      <x:c r="AN89" s="60" t="str">
        <x:f>IF(C89="","",IF(AND(C90&lt;&gt;"",C90&lt;&gt;C89),1,0))</x:f>
      </x:c>
      <x:c r="AO89" s="60" t="n"/>
      <x:c r="AP89" s="60" t="n">
        <x:f>MAX($AG$10:$AG$209)</x:f>
        <x:v>4</x:v>
      </x:c>
      <x:c r="AQ89" t="str">
        <x:f>AG89</x:f>
      </x:c>
      <x:c r="AR89" t="n">
        <x:f>C89</x:f>
        <x:v>0</x:v>
      </x:c>
      <x:c r="AS89" t="n">
        <x:f>E89</x:f>
        <x:v>0</x:v>
      </x:c>
    </x:row>
    <x:row r="90">
      <x:c r="A90" s="60" t="str">
        <x:f>IF(C90="","",COUNTIF($C$10:C90,"&lt;&gt;"))</x:f>
      </x:c>
      <x:c r="B90" s="122" t="n"/>
      <x:c r="C90" s="87" t="n"/>
      <x:c r="D90" s="87" t="n"/>
      <x:c r="E90" s="87" t="n"/>
      <x:c r="F90" s="87" t="n"/>
      <x:c r="G90" s="87" t="n"/>
      <x:c r="H90" s="87" t="n"/>
      <x:c r="I90" s="87" t="n"/>
      <x:c r="J90" s="87" t="n"/>
      <x:c r="K90" s="87" t="n"/>
      <x:c r="L90" s="87" t="n"/>
      <x:c r="M90" s="87" t="n"/>
      <x:c r="N90" s="87" t="n"/>
      <x:c r="O90" s="62" t="str">
        <x:f>IF(G90="","",IF(G90="Single",AH90,IF(G90="Double",AI90,AJ90)))</x:f>
      </x:c>
      <x:c r="P90" s="62" t="str">
        <x:f>IF(OR(G90="",H90="Ikke spillet"),"",IF(G90="Single",O90,IF(J90="","",(O90+J90)/2)))</x:f>
      </x:c>
      <x:c r="Q90" s="62" t="str">
        <x:f>IF(OR(G90="",H90="Ikke spillet"),"",IF(G90="Single",L90,IF(OR(L90="",N90=""),"",(L90+N90)/2)))</x:f>
      </x:c>
      <x:c r="R90" s="62" t="str">
        <x:f>IF(OR(P90="",Q90=""),"",Q90-P90)</x:f>
      </x:c>
      <x:c r="S90" s="62" t="str">
        <x:f>IF(H90="Ikke spillet","",IF(R90="","",IF(ABS(R90)&lt;0.000001,"Lige (0)",VLOOKUP(ABS(R90),'BD Pointtabel'!$A$4:$G$15,2,TRUE))))</x:f>
      </x:c>
      <x:c r="T90" s="62" t="str">
        <x:f>IF(H90="Ikke spillet","Ikke spillet",IF(H90="Planlagt","Planlagt",IF(OR(H90="",P90="",Q90=""),"",IF(H90="Vundet",IF(R90&gt;0,"Uventet sejr","Ventet sejr"),IF(R90&gt;=0,"Ventet nederlag","Uventet nederlag")))))</x:f>
      </x:c>
      <x:c r="U90" s="62" t="str">
        <x:f>IF(OR(H90="Ikke spillet",H90="Planlagt"),"",IF(OR(G90="",H90="",P90="",Q90=""),"",IF(AND(F90="Ungdomsholdturnering",OR(G90="Double",G90="Mix"),H90="Tabt"),0,IF(H90="Vundet",IF(R90&gt;0,VLOOKUP(ABS(R90),'BD Pointtabel'!$A$4:$G$15,4,TRUE),VLOOKUP(ABS(R90),'BD Pointtabel'!$A$4:$G$15,7,TRUE)),IF(R90&gt;=0,VLOOKUP(ABS(R90),'BD Pointtabel'!$A$4:$G$15,6,TRUE),VLOOKUP(ABS(R90),'BD Pointtabel'!$A$4:$G$15,3,TRUE))))))</x:f>
      </x:c>
      <x:c r="V90" s="62" t="str">
        <x:f>IF(G90="","",SUMIFS($U$10:U90,$AG$10:AG90,AG90,$G$10:G90,G90))</x:f>
      </x:c>
      <x:c r="W90" s="62" t="str">
        <x:f>IF(C90="","",IF(AN90&lt;&gt;1,"",IF(G90="Single",AA90,IF(G90="Double",AC90,AE90))))</x:f>
      </x:c>
      <x:c r="X90" s="62" t="str">
        <x:f>IF(C90="","",IF(AN90&lt;&gt;1,"",ROUND(((AA90*AB90+AC90*AD90+AE90*AF90)/(AB90+AD90+AF90))+IF((MAX(AA90,AC90,AE90)-(AA90+AC90+AE90-MAX(AA90,AC90,AE90)-MIN(AA90,AC90,AE90)))&lt;'Model &amp; indstillinger'!$E$16,'Model &amp; indstillinger'!$E$18,'Model &amp; indstillinger'!$E$20)*(MAX(AA90,AC90,AE90)-((AA90*AB90+AC90*AD90+AE90*AF90)/(AB90+AD90+AF90))),0)))</x:f>
      </x:c>
      <x:c r="Y90" s="62" t="str">
        <x:f>IF(X90="","",'Model &amp; indstillinger'!$B$4-X90)</x:f>
      </x:c>
      <x:c r="Z90" s="62" t="str">
        <x:f>IF(C90="","",IF(H90="Planlagt","Planlagt – ingen point endnu",IF(H90="Ikke spillet","Ikke spillet – tæller ikke som kamp og giver ingen point",IF(AN90=1,"STÆVNE SLUT – samlet point tilskrives","Frosset pointgrundlag – ingen tilskrivning endnu"))))</x:f>
      </x:c>
      <x:c r="AA90" s="60" t="str">
        <x:f>IF(C90="","",'Model &amp; indstillinger'!$B$6+SUMIFS($U$10:U90,$G$10:G90,"Single"))</x:f>
      </x:c>
      <x:c r="AB90" s="60" t="str">
        <x:f>IF(C90="","",'Model &amp; indstillinger'!$B$7+COUNTIFS($G$10:G90,"Single",$AK$10:AK90,1))</x:f>
      </x:c>
      <x:c r="AC90" s="60" t="str">
        <x:f>IF(C90="","",'Model &amp; indstillinger'!$B$8+SUMIFS($U$10:U90,$G$10:G90,"Double"))</x:f>
      </x:c>
      <x:c r="AD90" s="60" t="str">
        <x:f>IF(C90="","",'Model &amp; indstillinger'!$B$9+COUNTIFS($G$10:G90,"Double",$AK$10:AK90,1))</x:f>
      </x:c>
      <x:c r="AE90" s="60" t="str">
        <x:f>IF(C90="","",'Model &amp; indstillinger'!$B$10+SUMIFS($U$10:U90,$G$10:G90,"Mix"))</x:f>
      </x:c>
      <x:c r="AF90" s="60" t="str">
        <x:f>IF(C90="","",'Model &amp; indstillinger'!$B$11+COUNTIFS($G$10:G90,"Mix",$AK$10:AK90,1))</x:f>
      </x:c>
      <x:c r="AG90" s="60" t="str">
        <x:f>IF(C90="","",IF(C90=C89,AG89,AG89+1))</x:f>
      </x:c>
      <x:c r="AH90" s="60" t="str">
        <x:f>IF(C90="","",IF(AG90=AG89,AH89,AA89))</x:f>
      </x:c>
      <x:c r="AI90" s="60" t="str">
        <x:f>IF(C90="","",IF(AG90=AG89,AI89,AC89))</x:f>
      </x:c>
      <x:c r="AJ90" s="60" t="str">
        <x:f>IF(C90="","",IF(AG90=AG89,AJ89,AE89))</x:f>
      </x:c>
      <x:c r="AK90" s="60" t="n">
        <x:f>IF(OR(H90="Vundet",H90="Tabt"),1,0)</x:f>
        <x:v>0</x:v>
      </x:c>
      <x:c r="AL90" s="60" t="n"/>
      <x:c r="AM90" s="60" t="n">
        <x:f>MAX($AG$10:$AG$209)</x:f>
        <x:v>4</x:v>
      </x:c>
      <x:c r="AN90" s="60" t="str">
        <x:f>IF(C90="","",IF(AND(C91&lt;&gt;"",C91&lt;&gt;C90),1,0))</x:f>
      </x:c>
      <x:c r="AO90" s="60" t="n"/>
      <x:c r="AP90" s="60" t="n">
        <x:f>MAX($AG$10:$AG$209)</x:f>
        <x:v>4</x:v>
      </x:c>
      <x:c r="AQ90" t="str">
        <x:f>AG90</x:f>
      </x:c>
      <x:c r="AR90" t="n">
        <x:f>C90</x:f>
        <x:v>0</x:v>
      </x:c>
      <x:c r="AS90" t="n">
        <x:f>E90</x:f>
        <x:v>0</x:v>
      </x:c>
    </x:row>
    <x:row r="91">
      <x:c r="A91" s="60" t="str">
        <x:f>IF(C91="","",COUNTIF($C$10:C91,"&lt;&gt;"))</x:f>
      </x:c>
      <x:c r="B91" s="122" t="n"/>
      <x:c r="C91" s="87" t="n"/>
      <x:c r="D91" s="87" t="n"/>
      <x:c r="E91" s="87" t="n"/>
      <x:c r="F91" s="87" t="n"/>
      <x:c r="G91" s="87" t="n"/>
      <x:c r="H91" s="87" t="n"/>
      <x:c r="I91" s="87" t="n"/>
      <x:c r="J91" s="87" t="n"/>
      <x:c r="K91" s="87" t="n"/>
      <x:c r="L91" s="87" t="n"/>
      <x:c r="M91" s="87" t="n"/>
      <x:c r="N91" s="87" t="n"/>
      <x:c r="O91" s="62" t="str">
        <x:f>IF(G91="","",IF(G91="Single",AH91,IF(G91="Double",AI91,AJ91)))</x:f>
      </x:c>
      <x:c r="P91" s="62" t="str">
        <x:f>IF(OR(G91="",H91="Ikke spillet"),"",IF(G91="Single",O91,IF(J91="","",(O91+J91)/2)))</x:f>
      </x:c>
      <x:c r="Q91" s="62" t="str">
        <x:f>IF(OR(G91="",H91="Ikke spillet"),"",IF(G91="Single",L91,IF(OR(L91="",N91=""),"",(L91+N91)/2)))</x:f>
      </x:c>
      <x:c r="R91" s="62" t="str">
        <x:f>IF(OR(P91="",Q91=""),"",Q91-P91)</x:f>
      </x:c>
      <x:c r="S91" s="62" t="str">
        <x:f>IF(H91="Ikke spillet","",IF(R91="","",IF(ABS(R91)&lt;0.000001,"Lige (0)",VLOOKUP(ABS(R91),'BD Pointtabel'!$A$4:$G$15,2,TRUE))))</x:f>
      </x:c>
      <x:c r="T91" s="62" t="str">
        <x:f>IF(H91="Ikke spillet","Ikke spillet",IF(H91="Planlagt","Planlagt",IF(OR(H91="",P91="",Q91=""),"",IF(H91="Vundet",IF(R91&gt;0,"Uventet sejr","Ventet sejr"),IF(R91&gt;=0,"Ventet nederlag","Uventet nederlag")))))</x:f>
      </x:c>
      <x:c r="U91" s="62" t="str">
        <x:f>IF(OR(H91="Ikke spillet",H91="Planlagt"),"",IF(OR(G91="",H91="",P91="",Q91=""),"",IF(AND(F91="Ungdomsholdturnering",OR(G91="Double",G91="Mix"),H91="Tabt"),0,IF(H91="Vundet",IF(R91&gt;0,VLOOKUP(ABS(R91),'BD Pointtabel'!$A$4:$G$15,4,TRUE),VLOOKUP(ABS(R91),'BD Pointtabel'!$A$4:$G$15,7,TRUE)),IF(R91&gt;=0,VLOOKUP(ABS(R91),'BD Pointtabel'!$A$4:$G$15,6,TRUE),VLOOKUP(ABS(R91),'BD Pointtabel'!$A$4:$G$15,3,TRUE))))))</x:f>
      </x:c>
      <x:c r="V91" s="62" t="str">
        <x:f>IF(G91="","",SUMIFS($U$10:U91,$AG$10:AG91,AG91,$G$10:G91,G91))</x:f>
      </x:c>
      <x:c r="W91" s="62" t="str">
        <x:f>IF(C91="","",IF(AN91&lt;&gt;1,"",IF(G91="Single",AA91,IF(G91="Double",AC91,AE91))))</x:f>
      </x:c>
      <x:c r="X91" s="62" t="str">
        <x:f>IF(C91="","",IF(AN91&lt;&gt;1,"",ROUND(((AA91*AB91+AC91*AD91+AE91*AF91)/(AB91+AD91+AF91))+IF((MAX(AA91,AC91,AE91)-(AA91+AC91+AE91-MAX(AA91,AC91,AE91)-MIN(AA91,AC91,AE91)))&lt;'Model &amp; indstillinger'!$E$16,'Model &amp; indstillinger'!$E$18,'Model &amp; indstillinger'!$E$20)*(MAX(AA91,AC91,AE91)-((AA91*AB91+AC91*AD91+AE91*AF91)/(AB91+AD91+AF91))),0)))</x:f>
      </x:c>
      <x:c r="Y91" s="62" t="str">
        <x:f>IF(X91="","",'Model &amp; indstillinger'!$B$4-X91)</x:f>
      </x:c>
      <x:c r="Z91" s="62" t="str">
        <x:f>IF(C91="","",IF(H91="Planlagt","Planlagt – ingen point endnu",IF(H91="Ikke spillet","Ikke spillet – tæller ikke som kamp og giver ingen point",IF(AN91=1,"STÆVNE SLUT – samlet point tilskrives","Frosset pointgrundlag – ingen tilskrivning endnu"))))</x:f>
      </x:c>
      <x:c r="AA91" s="60" t="str">
        <x:f>IF(C91="","",'Model &amp; indstillinger'!$B$6+SUMIFS($U$10:U91,$G$10:G91,"Single"))</x:f>
      </x:c>
      <x:c r="AB91" s="60" t="str">
        <x:f>IF(C91="","",'Model &amp; indstillinger'!$B$7+COUNTIFS($G$10:G91,"Single",$AK$10:AK91,1))</x:f>
      </x:c>
      <x:c r="AC91" s="60" t="str">
        <x:f>IF(C91="","",'Model &amp; indstillinger'!$B$8+SUMIFS($U$10:U91,$G$10:G91,"Double"))</x:f>
      </x:c>
      <x:c r="AD91" s="60" t="str">
        <x:f>IF(C91="","",'Model &amp; indstillinger'!$B$9+COUNTIFS($G$10:G91,"Double",$AK$10:AK91,1))</x:f>
      </x:c>
      <x:c r="AE91" s="60" t="str">
        <x:f>IF(C91="","",'Model &amp; indstillinger'!$B$10+SUMIFS($U$10:U91,$G$10:G91,"Mix"))</x:f>
      </x:c>
      <x:c r="AF91" s="60" t="str">
        <x:f>IF(C91="","",'Model &amp; indstillinger'!$B$11+COUNTIFS($G$10:G91,"Mix",$AK$10:AK91,1))</x:f>
      </x:c>
      <x:c r="AG91" s="60" t="str">
        <x:f>IF(C91="","",IF(C91=C90,AG90,AG90+1))</x:f>
      </x:c>
      <x:c r="AH91" s="60" t="str">
        <x:f>IF(C91="","",IF(AG91=AG90,AH90,AA90))</x:f>
      </x:c>
      <x:c r="AI91" s="60" t="str">
        <x:f>IF(C91="","",IF(AG91=AG90,AI90,AC90))</x:f>
      </x:c>
      <x:c r="AJ91" s="60" t="str">
        <x:f>IF(C91="","",IF(AG91=AG90,AJ90,AE90))</x:f>
      </x:c>
      <x:c r="AK91" s="60" t="n">
        <x:f>IF(OR(H91="Vundet",H91="Tabt"),1,0)</x:f>
        <x:v>0</x:v>
      </x:c>
      <x:c r="AL91" s="60" t="n"/>
      <x:c r="AM91" s="60" t="n">
        <x:f>MAX($AG$10:$AG$209)</x:f>
        <x:v>4</x:v>
      </x:c>
      <x:c r="AN91" s="60" t="str">
        <x:f>IF(C91="","",IF(AND(C92&lt;&gt;"",C92&lt;&gt;C91),1,0))</x:f>
      </x:c>
      <x:c r="AO91" s="60" t="n"/>
      <x:c r="AP91" s="60" t="n">
        <x:f>MAX($AG$10:$AG$209)</x:f>
        <x:v>4</x:v>
      </x:c>
      <x:c r="AQ91" t="str">
        <x:f>AG91</x:f>
      </x:c>
      <x:c r="AR91" t="n">
        <x:f>C91</x:f>
        <x:v>0</x:v>
      </x:c>
      <x:c r="AS91" t="n">
        <x:f>E91</x:f>
        <x:v>0</x:v>
      </x:c>
    </x:row>
    <x:row r="92">
      <x:c r="A92" s="60" t="str">
        <x:f>IF(C92="","",COUNTIF($C$10:C92,"&lt;&gt;"))</x:f>
      </x:c>
      <x:c r="B92" s="122" t="n"/>
      <x:c r="C92" s="87" t="n"/>
      <x:c r="D92" s="87" t="n"/>
      <x:c r="E92" s="87" t="n"/>
      <x:c r="F92" s="87" t="n"/>
      <x:c r="G92" s="87" t="n"/>
      <x:c r="H92" s="87" t="n"/>
      <x:c r="I92" s="87" t="n"/>
      <x:c r="J92" s="87" t="n"/>
      <x:c r="K92" s="87" t="n"/>
      <x:c r="L92" s="87" t="n"/>
      <x:c r="M92" s="87" t="n"/>
      <x:c r="N92" s="87" t="n"/>
      <x:c r="O92" s="62" t="str">
        <x:f>IF(G92="","",IF(G92="Single",AH92,IF(G92="Double",AI92,AJ92)))</x:f>
      </x:c>
      <x:c r="P92" s="62" t="str">
        <x:f>IF(OR(G92="",H92="Ikke spillet"),"",IF(G92="Single",O92,IF(J92="","",(O92+J92)/2)))</x:f>
      </x:c>
      <x:c r="Q92" s="62" t="str">
        <x:f>IF(OR(G92="",H92="Ikke spillet"),"",IF(G92="Single",L92,IF(OR(L92="",N92=""),"",(L92+N92)/2)))</x:f>
      </x:c>
      <x:c r="R92" s="62" t="str">
        <x:f>IF(OR(P92="",Q92=""),"",Q92-P92)</x:f>
      </x:c>
      <x:c r="S92" s="62" t="str">
        <x:f>IF(H92="Ikke spillet","",IF(R92="","",IF(ABS(R92)&lt;0.000001,"Lige (0)",VLOOKUP(ABS(R92),'BD Pointtabel'!$A$4:$G$15,2,TRUE))))</x:f>
      </x:c>
      <x:c r="T92" s="62" t="str">
        <x:f>IF(H92="Ikke spillet","Ikke spillet",IF(H92="Planlagt","Planlagt",IF(OR(H92="",P92="",Q92=""),"",IF(H92="Vundet",IF(R92&gt;0,"Uventet sejr","Ventet sejr"),IF(R92&gt;=0,"Ventet nederlag","Uventet nederlag")))))</x:f>
      </x:c>
      <x:c r="U92" s="62" t="str">
        <x:f>IF(OR(H92="Ikke spillet",H92="Planlagt"),"",IF(OR(G92="",H92="",P92="",Q92=""),"",IF(AND(F92="Ungdomsholdturnering",OR(G92="Double",G92="Mix"),H92="Tabt"),0,IF(H92="Vundet",IF(R92&gt;0,VLOOKUP(ABS(R92),'BD Pointtabel'!$A$4:$G$15,4,TRUE),VLOOKUP(ABS(R92),'BD Pointtabel'!$A$4:$G$15,7,TRUE)),IF(R92&gt;=0,VLOOKUP(ABS(R92),'BD Pointtabel'!$A$4:$G$15,6,TRUE),VLOOKUP(ABS(R92),'BD Pointtabel'!$A$4:$G$15,3,TRUE))))))</x:f>
      </x:c>
      <x:c r="V92" s="62" t="str">
        <x:f>IF(G92="","",SUMIFS($U$10:U92,$AG$10:AG92,AG92,$G$10:G92,G92))</x:f>
      </x:c>
      <x:c r="W92" s="62" t="str">
        <x:f>IF(C92="","",IF(AN92&lt;&gt;1,"",IF(G92="Single",AA92,IF(G92="Double",AC92,AE92))))</x:f>
      </x:c>
      <x:c r="X92" s="62" t="str">
        <x:f>IF(C92="","",IF(AN92&lt;&gt;1,"",ROUND(((AA92*AB92+AC92*AD92+AE92*AF92)/(AB92+AD92+AF92))+IF((MAX(AA92,AC92,AE92)-(AA92+AC92+AE92-MAX(AA92,AC92,AE92)-MIN(AA92,AC92,AE92)))&lt;'Model &amp; indstillinger'!$E$16,'Model &amp; indstillinger'!$E$18,'Model &amp; indstillinger'!$E$20)*(MAX(AA92,AC92,AE92)-((AA92*AB92+AC92*AD92+AE92*AF92)/(AB92+AD92+AF92))),0)))</x:f>
      </x:c>
      <x:c r="Y92" s="62" t="str">
        <x:f>IF(X92="","",'Model &amp; indstillinger'!$B$4-X92)</x:f>
      </x:c>
      <x:c r="Z92" s="62" t="str">
        <x:f>IF(C92="","",IF(H92="Planlagt","Planlagt – ingen point endnu",IF(H92="Ikke spillet","Ikke spillet – tæller ikke som kamp og giver ingen point",IF(AN92=1,"STÆVNE SLUT – samlet point tilskrives","Frosset pointgrundlag – ingen tilskrivning endnu"))))</x:f>
      </x:c>
      <x:c r="AA92" s="60" t="str">
        <x:f>IF(C92="","",'Model &amp; indstillinger'!$B$6+SUMIFS($U$10:U92,$G$10:G92,"Single"))</x:f>
      </x:c>
      <x:c r="AB92" s="60" t="str">
        <x:f>IF(C92="","",'Model &amp; indstillinger'!$B$7+COUNTIFS($G$10:G92,"Single",$AK$10:AK92,1))</x:f>
      </x:c>
      <x:c r="AC92" s="60" t="str">
        <x:f>IF(C92="","",'Model &amp; indstillinger'!$B$8+SUMIFS($U$10:U92,$G$10:G92,"Double"))</x:f>
      </x:c>
      <x:c r="AD92" s="60" t="str">
        <x:f>IF(C92="","",'Model &amp; indstillinger'!$B$9+COUNTIFS($G$10:G92,"Double",$AK$10:AK92,1))</x:f>
      </x:c>
      <x:c r="AE92" s="60" t="str">
        <x:f>IF(C92="","",'Model &amp; indstillinger'!$B$10+SUMIFS($U$10:U92,$G$10:G92,"Mix"))</x:f>
      </x:c>
      <x:c r="AF92" s="60" t="str">
        <x:f>IF(C92="","",'Model &amp; indstillinger'!$B$11+COUNTIFS($G$10:G92,"Mix",$AK$10:AK92,1))</x:f>
      </x:c>
      <x:c r="AG92" s="60" t="str">
        <x:f>IF(C92="","",IF(C92=C91,AG91,AG91+1))</x:f>
      </x:c>
      <x:c r="AH92" s="60" t="str">
        <x:f>IF(C92="","",IF(AG92=AG91,AH91,AA91))</x:f>
      </x:c>
      <x:c r="AI92" s="60" t="str">
        <x:f>IF(C92="","",IF(AG92=AG91,AI91,AC91))</x:f>
      </x:c>
      <x:c r="AJ92" s="60" t="str">
        <x:f>IF(C92="","",IF(AG92=AG91,AJ91,AE91))</x:f>
      </x:c>
      <x:c r="AK92" s="60" t="n">
        <x:f>IF(OR(H92="Vundet",H92="Tabt"),1,0)</x:f>
        <x:v>0</x:v>
      </x:c>
      <x:c r="AL92" s="60" t="n"/>
      <x:c r="AM92" s="60" t="n">
        <x:f>MAX($AG$10:$AG$209)</x:f>
        <x:v>4</x:v>
      </x:c>
      <x:c r="AN92" s="60" t="str">
        <x:f>IF(C92="","",IF(AND(C93&lt;&gt;"",C93&lt;&gt;C92),1,0))</x:f>
      </x:c>
      <x:c r="AO92" s="60" t="n"/>
      <x:c r="AP92" s="60" t="n">
        <x:f>MAX($AG$10:$AG$209)</x:f>
        <x:v>4</x:v>
      </x:c>
      <x:c r="AQ92" t="str">
        <x:f>AG92</x:f>
      </x:c>
      <x:c r="AR92" t="n">
        <x:f>C92</x:f>
        <x:v>0</x:v>
      </x:c>
      <x:c r="AS92" t="n">
        <x:f>E92</x:f>
        <x:v>0</x:v>
      </x:c>
    </x:row>
    <x:row r="93">
      <x:c r="A93" s="60" t="str">
        <x:f>IF(C93="","",COUNTIF($C$10:C93,"&lt;&gt;"))</x:f>
      </x:c>
      <x:c r="B93" s="122" t="n"/>
      <x:c r="C93" s="87" t="n"/>
      <x:c r="D93" s="87" t="n"/>
      <x:c r="E93" s="87" t="n"/>
      <x:c r="F93" s="87" t="n"/>
      <x:c r="G93" s="87" t="n"/>
      <x:c r="H93" s="87" t="n"/>
      <x:c r="I93" s="87" t="n"/>
      <x:c r="J93" s="87" t="n"/>
      <x:c r="K93" s="87" t="n"/>
      <x:c r="L93" s="87" t="n"/>
      <x:c r="M93" s="87" t="n"/>
      <x:c r="N93" s="87" t="n"/>
      <x:c r="O93" s="62" t="str">
        <x:f>IF(G93="","",IF(G93="Single",AH93,IF(G93="Double",AI93,AJ93)))</x:f>
      </x:c>
      <x:c r="P93" s="62" t="str">
        <x:f>IF(OR(G93="",H93="Ikke spillet"),"",IF(G93="Single",O93,IF(J93="","",(O93+J93)/2)))</x:f>
      </x:c>
      <x:c r="Q93" s="62" t="str">
        <x:f>IF(OR(G93="",H93="Ikke spillet"),"",IF(G93="Single",L93,IF(OR(L93="",N93=""),"",(L93+N93)/2)))</x:f>
      </x:c>
      <x:c r="R93" s="62" t="str">
        <x:f>IF(OR(P93="",Q93=""),"",Q93-P93)</x:f>
      </x:c>
      <x:c r="S93" s="62" t="str">
        <x:f>IF(H93="Ikke spillet","",IF(R93="","",IF(ABS(R93)&lt;0.000001,"Lige (0)",VLOOKUP(ABS(R93),'BD Pointtabel'!$A$4:$G$15,2,TRUE))))</x:f>
      </x:c>
      <x:c r="T93" s="62" t="str">
        <x:f>IF(H93="Ikke spillet","Ikke spillet",IF(H93="Planlagt","Planlagt",IF(OR(H93="",P93="",Q93=""),"",IF(H93="Vundet",IF(R93&gt;0,"Uventet sejr","Ventet sejr"),IF(R93&gt;=0,"Ventet nederlag","Uventet nederlag")))))</x:f>
      </x:c>
      <x:c r="U93" s="62" t="str">
        <x:f>IF(OR(H93="Ikke spillet",H93="Planlagt"),"",IF(OR(G93="",H93="",P93="",Q93=""),"",IF(AND(F93="Ungdomsholdturnering",OR(G93="Double",G93="Mix"),H93="Tabt"),0,IF(H93="Vundet",IF(R93&gt;0,VLOOKUP(ABS(R93),'BD Pointtabel'!$A$4:$G$15,4,TRUE),VLOOKUP(ABS(R93),'BD Pointtabel'!$A$4:$G$15,7,TRUE)),IF(R93&gt;=0,VLOOKUP(ABS(R93),'BD Pointtabel'!$A$4:$G$15,6,TRUE),VLOOKUP(ABS(R93),'BD Pointtabel'!$A$4:$G$15,3,TRUE))))))</x:f>
      </x:c>
      <x:c r="V93" s="62" t="str">
        <x:f>IF(G93="","",SUMIFS($U$10:U93,$AG$10:AG93,AG93,$G$10:G93,G93))</x:f>
      </x:c>
      <x:c r="W93" s="62" t="str">
        <x:f>IF(C93="","",IF(AN93&lt;&gt;1,"",IF(G93="Single",AA93,IF(G93="Double",AC93,AE93))))</x:f>
      </x:c>
      <x:c r="X93" s="62" t="str">
        <x:f>IF(C93="","",IF(AN93&lt;&gt;1,"",ROUND(((AA93*AB93+AC93*AD93+AE93*AF93)/(AB93+AD93+AF93))+IF((MAX(AA93,AC93,AE93)-(AA93+AC93+AE93-MAX(AA93,AC93,AE93)-MIN(AA93,AC93,AE93)))&lt;'Model &amp; indstillinger'!$E$16,'Model &amp; indstillinger'!$E$18,'Model &amp; indstillinger'!$E$20)*(MAX(AA93,AC93,AE93)-((AA93*AB93+AC93*AD93+AE93*AF93)/(AB93+AD93+AF93))),0)))</x:f>
      </x:c>
      <x:c r="Y93" s="62" t="str">
        <x:f>IF(X93="","",'Model &amp; indstillinger'!$B$4-X93)</x:f>
      </x:c>
      <x:c r="Z93" s="62" t="str">
        <x:f>IF(C93="","",IF(H93="Planlagt","Planlagt – ingen point endnu",IF(H93="Ikke spillet","Ikke spillet – tæller ikke som kamp og giver ingen point",IF(AN93=1,"STÆVNE SLUT – samlet point tilskrives","Frosset pointgrundlag – ingen tilskrivning endnu"))))</x:f>
      </x:c>
      <x:c r="AA93" s="60" t="str">
        <x:f>IF(C93="","",'Model &amp; indstillinger'!$B$6+SUMIFS($U$10:U93,$G$10:G93,"Single"))</x:f>
      </x:c>
      <x:c r="AB93" s="60" t="str">
        <x:f>IF(C93="","",'Model &amp; indstillinger'!$B$7+COUNTIFS($G$10:G93,"Single",$AK$10:AK93,1))</x:f>
      </x:c>
      <x:c r="AC93" s="60" t="str">
        <x:f>IF(C93="","",'Model &amp; indstillinger'!$B$8+SUMIFS($U$10:U93,$G$10:G93,"Double"))</x:f>
      </x:c>
      <x:c r="AD93" s="60" t="str">
        <x:f>IF(C93="","",'Model &amp; indstillinger'!$B$9+COUNTIFS($G$10:G93,"Double",$AK$10:AK93,1))</x:f>
      </x:c>
      <x:c r="AE93" s="60" t="str">
        <x:f>IF(C93="","",'Model &amp; indstillinger'!$B$10+SUMIFS($U$10:U93,$G$10:G93,"Mix"))</x:f>
      </x:c>
      <x:c r="AF93" s="60" t="str">
        <x:f>IF(C93="","",'Model &amp; indstillinger'!$B$11+COUNTIFS($G$10:G93,"Mix",$AK$10:AK93,1))</x:f>
      </x:c>
      <x:c r="AG93" s="60" t="str">
        <x:f>IF(C93="","",IF(C93=C92,AG92,AG92+1))</x:f>
      </x:c>
      <x:c r="AH93" s="60" t="str">
        <x:f>IF(C93="","",IF(AG93=AG92,AH92,AA92))</x:f>
      </x:c>
      <x:c r="AI93" s="60" t="str">
        <x:f>IF(C93="","",IF(AG93=AG92,AI92,AC92))</x:f>
      </x:c>
      <x:c r="AJ93" s="60" t="str">
        <x:f>IF(C93="","",IF(AG93=AG92,AJ92,AE92))</x:f>
      </x:c>
      <x:c r="AK93" s="60" t="n">
        <x:f>IF(OR(H93="Vundet",H93="Tabt"),1,0)</x:f>
        <x:v>0</x:v>
      </x:c>
      <x:c r="AL93" s="60" t="n"/>
      <x:c r="AM93" s="60" t="n">
        <x:f>MAX($AG$10:$AG$209)</x:f>
        <x:v>4</x:v>
      </x:c>
      <x:c r="AN93" s="60" t="str">
        <x:f>IF(C93="","",IF(AND(C94&lt;&gt;"",C94&lt;&gt;C93),1,0))</x:f>
      </x:c>
      <x:c r="AO93" s="60" t="n"/>
      <x:c r="AP93" s="60" t="n">
        <x:f>MAX($AG$10:$AG$209)</x:f>
        <x:v>4</x:v>
      </x:c>
      <x:c r="AQ93" t="str">
        <x:f>AG93</x:f>
      </x:c>
      <x:c r="AR93" t="n">
        <x:f>C93</x:f>
        <x:v>0</x:v>
      </x:c>
      <x:c r="AS93" t="n">
        <x:f>E93</x:f>
        <x:v>0</x:v>
      </x:c>
    </x:row>
    <x:row r="94">
      <x:c r="A94" s="60" t="str">
        <x:f>IF(C94="","",COUNTIF($C$10:C94,"&lt;&gt;"))</x:f>
      </x:c>
      <x:c r="B94" s="122" t="n"/>
      <x:c r="C94" s="87" t="n"/>
      <x:c r="D94" s="87" t="n"/>
      <x:c r="E94" s="87" t="n"/>
      <x:c r="F94" s="87" t="n"/>
      <x:c r="G94" s="87" t="n"/>
      <x:c r="H94" s="87" t="n"/>
      <x:c r="I94" s="87" t="n"/>
      <x:c r="J94" s="87" t="n"/>
      <x:c r="K94" s="87" t="n"/>
      <x:c r="L94" s="87" t="n"/>
      <x:c r="M94" s="87" t="n"/>
      <x:c r="N94" s="87" t="n"/>
      <x:c r="O94" s="62" t="str">
        <x:f>IF(G94="","",IF(G94="Single",AH94,IF(G94="Double",AI94,AJ94)))</x:f>
      </x:c>
      <x:c r="P94" s="62" t="str">
        <x:f>IF(OR(G94="",H94="Ikke spillet"),"",IF(G94="Single",O94,IF(J94="","",(O94+J94)/2)))</x:f>
      </x:c>
      <x:c r="Q94" s="62" t="str">
        <x:f>IF(OR(G94="",H94="Ikke spillet"),"",IF(G94="Single",L94,IF(OR(L94="",N94=""),"",(L94+N94)/2)))</x:f>
      </x:c>
      <x:c r="R94" s="62" t="str">
        <x:f>IF(OR(P94="",Q94=""),"",Q94-P94)</x:f>
      </x:c>
      <x:c r="S94" s="62" t="str">
        <x:f>IF(H94="Ikke spillet","",IF(R94="","",IF(ABS(R94)&lt;0.000001,"Lige (0)",VLOOKUP(ABS(R94),'BD Pointtabel'!$A$4:$G$15,2,TRUE))))</x:f>
      </x:c>
      <x:c r="T94" s="62" t="str">
        <x:f>IF(H94="Ikke spillet","Ikke spillet",IF(H94="Planlagt","Planlagt",IF(OR(H94="",P94="",Q94=""),"",IF(H94="Vundet",IF(R94&gt;0,"Uventet sejr","Ventet sejr"),IF(R94&gt;=0,"Ventet nederlag","Uventet nederlag")))))</x:f>
      </x:c>
      <x:c r="U94" s="62" t="str">
        <x:f>IF(OR(H94="Ikke spillet",H94="Planlagt"),"",IF(OR(G94="",H94="",P94="",Q94=""),"",IF(AND(F94="Ungdomsholdturnering",OR(G94="Double",G94="Mix"),H94="Tabt"),0,IF(H94="Vundet",IF(R94&gt;0,VLOOKUP(ABS(R94),'BD Pointtabel'!$A$4:$G$15,4,TRUE),VLOOKUP(ABS(R94),'BD Pointtabel'!$A$4:$G$15,7,TRUE)),IF(R94&gt;=0,VLOOKUP(ABS(R94),'BD Pointtabel'!$A$4:$G$15,6,TRUE),VLOOKUP(ABS(R94),'BD Pointtabel'!$A$4:$G$15,3,TRUE))))))</x:f>
      </x:c>
      <x:c r="V94" s="62" t="str">
        <x:f>IF(G94="","",SUMIFS($U$10:U94,$AG$10:AG94,AG94,$G$10:G94,G94))</x:f>
      </x:c>
      <x:c r="W94" s="62" t="str">
        <x:f>IF(C94="","",IF(AN94&lt;&gt;1,"",IF(G94="Single",AA94,IF(G94="Double",AC94,AE94))))</x:f>
      </x:c>
      <x:c r="X94" s="62" t="str">
        <x:f>IF(C94="","",IF(AN94&lt;&gt;1,"",ROUND(((AA94*AB94+AC94*AD94+AE94*AF94)/(AB94+AD94+AF94))+IF((MAX(AA94,AC94,AE94)-(AA94+AC94+AE94-MAX(AA94,AC94,AE94)-MIN(AA94,AC94,AE94)))&lt;'Model &amp; indstillinger'!$E$16,'Model &amp; indstillinger'!$E$18,'Model &amp; indstillinger'!$E$20)*(MAX(AA94,AC94,AE94)-((AA94*AB94+AC94*AD94+AE94*AF94)/(AB94+AD94+AF94))),0)))</x:f>
      </x:c>
      <x:c r="Y94" s="62" t="str">
        <x:f>IF(X94="","",'Model &amp; indstillinger'!$B$4-X94)</x:f>
      </x:c>
      <x:c r="Z94" s="62" t="str">
        <x:f>IF(C94="","",IF(H94="Planlagt","Planlagt – ingen point endnu",IF(H94="Ikke spillet","Ikke spillet – tæller ikke som kamp og giver ingen point",IF(AN94=1,"STÆVNE SLUT – samlet point tilskrives","Frosset pointgrundlag – ingen tilskrivning endnu"))))</x:f>
      </x:c>
      <x:c r="AA94" s="60" t="str">
        <x:f>IF(C94="","",'Model &amp; indstillinger'!$B$6+SUMIFS($U$10:U94,$G$10:G94,"Single"))</x:f>
      </x:c>
      <x:c r="AB94" s="60" t="str">
        <x:f>IF(C94="","",'Model &amp; indstillinger'!$B$7+COUNTIFS($G$10:G94,"Single",$AK$10:AK94,1))</x:f>
      </x:c>
      <x:c r="AC94" s="60" t="str">
        <x:f>IF(C94="","",'Model &amp; indstillinger'!$B$8+SUMIFS($U$10:U94,$G$10:G94,"Double"))</x:f>
      </x:c>
      <x:c r="AD94" s="60" t="str">
        <x:f>IF(C94="","",'Model &amp; indstillinger'!$B$9+COUNTIFS($G$10:G94,"Double",$AK$10:AK94,1))</x:f>
      </x:c>
      <x:c r="AE94" s="60" t="str">
        <x:f>IF(C94="","",'Model &amp; indstillinger'!$B$10+SUMIFS($U$10:U94,$G$10:G94,"Mix"))</x:f>
      </x:c>
      <x:c r="AF94" s="60" t="str">
        <x:f>IF(C94="","",'Model &amp; indstillinger'!$B$11+COUNTIFS($G$10:G94,"Mix",$AK$10:AK94,1))</x:f>
      </x:c>
      <x:c r="AG94" s="60" t="str">
        <x:f>IF(C94="","",IF(C94=C93,AG93,AG93+1))</x:f>
      </x:c>
      <x:c r="AH94" s="60" t="str">
        <x:f>IF(C94="","",IF(AG94=AG93,AH93,AA93))</x:f>
      </x:c>
      <x:c r="AI94" s="60" t="str">
        <x:f>IF(C94="","",IF(AG94=AG93,AI93,AC93))</x:f>
      </x:c>
      <x:c r="AJ94" s="60" t="str">
        <x:f>IF(C94="","",IF(AG94=AG93,AJ93,AE93))</x:f>
      </x:c>
      <x:c r="AK94" s="60" t="n">
        <x:f>IF(OR(H94="Vundet",H94="Tabt"),1,0)</x:f>
        <x:v>0</x:v>
      </x:c>
      <x:c r="AL94" s="60" t="n"/>
      <x:c r="AM94" s="60" t="n">
        <x:f>MAX($AG$10:$AG$209)</x:f>
        <x:v>4</x:v>
      </x:c>
      <x:c r="AN94" s="60" t="str">
        <x:f>IF(C94="","",IF(AND(C95&lt;&gt;"",C95&lt;&gt;C94),1,0))</x:f>
      </x:c>
      <x:c r="AO94" s="60" t="n"/>
      <x:c r="AP94" s="60" t="n">
        <x:f>MAX($AG$10:$AG$209)</x:f>
        <x:v>4</x:v>
      </x:c>
      <x:c r="AQ94" t="str">
        <x:f>AG94</x:f>
      </x:c>
      <x:c r="AR94" t="n">
        <x:f>C94</x:f>
        <x:v>0</x:v>
      </x:c>
      <x:c r="AS94" t="n">
        <x:f>E94</x:f>
        <x:v>0</x:v>
      </x:c>
    </x:row>
    <x:row r="95">
      <x:c r="A95" s="60" t="str">
        <x:f>IF(C95="","",COUNTIF($C$10:C95,"&lt;&gt;"))</x:f>
      </x:c>
      <x:c r="B95" s="122" t="n"/>
      <x:c r="C95" s="87" t="n"/>
      <x:c r="D95" s="87" t="n"/>
      <x:c r="E95" s="87" t="n"/>
      <x:c r="F95" s="87" t="n"/>
      <x:c r="G95" s="87" t="n"/>
      <x:c r="H95" s="87" t="n"/>
      <x:c r="I95" s="87" t="n"/>
      <x:c r="J95" s="87" t="n"/>
      <x:c r="K95" s="87" t="n"/>
      <x:c r="L95" s="87" t="n"/>
      <x:c r="M95" s="87" t="n"/>
      <x:c r="N95" s="87" t="n"/>
      <x:c r="O95" s="62" t="str">
        <x:f>IF(G95="","",IF(G95="Single",AH95,IF(G95="Double",AI95,AJ95)))</x:f>
      </x:c>
      <x:c r="P95" s="62" t="str">
        <x:f>IF(OR(G95="",H95="Ikke spillet"),"",IF(G95="Single",O95,IF(J95="","",(O95+J95)/2)))</x:f>
      </x:c>
      <x:c r="Q95" s="62" t="str">
        <x:f>IF(OR(G95="",H95="Ikke spillet"),"",IF(G95="Single",L95,IF(OR(L95="",N95=""),"",(L95+N95)/2)))</x:f>
      </x:c>
      <x:c r="R95" s="62" t="str">
        <x:f>IF(OR(P95="",Q95=""),"",Q95-P95)</x:f>
      </x:c>
      <x:c r="S95" s="62" t="str">
        <x:f>IF(H95="Ikke spillet","",IF(R95="","",IF(ABS(R95)&lt;0.000001,"Lige (0)",VLOOKUP(ABS(R95),'BD Pointtabel'!$A$4:$G$15,2,TRUE))))</x:f>
      </x:c>
      <x:c r="T95" s="62" t="str">
        <x:f>IF(H95="Ikke spillet","Ikke spillet",IF(H95="Planlagt","Planlagt",IF(OR(H95="",P95="",Q95=""),"",IF(H95="Vundet",IF(R95&gt;0,"Uventet sejr","Ventet sejr"),IF(R95&gt;=0,"Ventet nederlag","Uventet nederlag")))))</x:f>
      </x:c>
      <x:c r="U95" s="62" t="str">
        <x:f>IF(OR(H95="Ikke spillet",H95="Planlagt"),"",IF(OR(G95="",H95="",P95="",Q95=""),"",IF(AND(F95="Ungdomsholdturnering",OR(G95="Double",G95="Mix"),H95="Tabt"),0,IF(H95="Vundet",IF(R95&gt;0,VLOOKUP(ABS(R95),'BD Pointtabel'!$A$4:$G$15,4,TRUE),VLOOKUP(ABS(R95),'BD Pointtabel'!$A$4:$G$15,7,TRUE)),IF(R95&gt;=0,VLOOKUP(ABS(R95),'BD Pointtabel'!$A$4:$G$15,6,TRUE),VLOOKUP(ABS(R95),'BD Pointtabel'!$A$4:$G$15,3,TRUE))))))</x:f>
      </x:c>
      <x:c r="V95" s="62" t="str">
        <x:f>IF(G95="","",SUMIFS($U$10:U95,$AG$10:AG95,AG95,$G$10:G95,G95))</x:f>
      </x:c>
      <x:c r="W95" s="62" t="str">
        <x:f>IF(C95="","",IF(AN95&lt;&gt;1,"",IF(G95="Single",AA95,IF(G95="Double",AC95,AE95))))</x:f>
      </x:c>
      <x:c r="X95" s="62" t="str">
        <x:f>IF(C95="","",IF(AN95&lt;&gt;1,"",ROUND(((AA95*AB95+AC95*AD95+AE95*AF95)/(AB95+AD95+AF95))+IF((MAX(AA95,AC95,AE95)-(AA95+AC95+AE95-MAX(AA95,AC95,AE95)-MIN(AA95,AC95,AE95)))&lt;'Model &amp; indstillinger'!$E$16,'Model &amp; indstillinger'!$E$18,'Model &amp; indstillinger'!$E$20)*(MAX(AA95,AC95,AE95)-((AA95*AB95+AC95*AD95+AE95*AF95)/(AB95+AD95+AF95))),0)))</x:f>
      </x:c>
      <x:c r="Y95" s="62" t="str">
        <x:f>IF(X95="","",'Model &amp; indstillinger'!$B$4-X95)</x:f>
      </x:c>
      <x:c r="Z95" s="62" t="str">
        <x:f>IF(C95="","",IF(H95="Planlagt","Planlagt – ingen point endnu",IF(H95="Ikke spillet","Ikke spillet – tæller ikke som kamp og giver ingen point",IF(AN95=1,"STÆVNE SLUT – samlet point tilskrives","Frosset pointgrundlag – ingen tilskrivning endnu"))))</x:f>
      </x:c>
      <x:c r="AA95" s="60" t="str">
        <x:f>IF(C95="","",'Model &amp; indstillinger'!$B$6+SUMIFS($U$10:U95,$G$10:G95,"Single"))</x:f>
      </x:c>
      <x:c r="AB95" s="60" t="str">
        <x:f>IF(C95="","",'Model &amp; indstillinger'!$B$7+COUNTIFS($G$10:G95,"Single",$AK$10:AK95,1))</x:f>
      </x:c>
      <x:c r="AC95" s="60" t="str">
        <x:f>IF(C95="","",'Model &amp; indstillinger'!$B$8+SUMIFS($U$10:U95,$G$10:G95,"Double"))</x:f>
      </x:c>
      <x:c r="AD95" s="60" t="str">
        <x:f>IF(C95="","",'Model &amp; indstillinger'!$B$9+COUNTIFS($G$10:G95,"Double",$AK$10:AK95,1))</x:f>
      </x:c>
      <x:c r="AE95" s="60" t="str">
        <x:f>IF(C95="","",'Model &amp; indstillinger'!$B$10+SUMIFS($U$10:U95,$G$10:G95,"Mix"))</x:f>
      </x:c>
      <x:c r="AF95" s="60" t="str">
        <x:f>IF(C95="","",'Model &amp; indstillinger'!$B$11+COUNTIFS($G$10:G95,"Mix",$AK$10:AK95,1))</x:f>
      </x:c>
      <x:c r="AG95" s="60" t="str">
        <x:f>IF(C95="","",IF(C95=C94,AG94,AG94+1))</x:f>
      </x:c>
      <x:c r="AH95" s="60" t="str">
        <x:f>IF(C95="","",IF(AG95=AG94,AH94,AA94))</x:f>
      </x:c>
      <x:c r="AI95" s="60" t="str">
        <x:f>IF(C95="","",IF(AG95=AG94,AI94,AC94))</x:f>
      </x:c>
      <x:c r="AJ95" s="60" t="str">
        <x:f>IF(C95="","",IF(AG95=AG94,AJ94,AE94))</x:f>
      </x:c>
      <x:c r="AK95" s="60" t="n">
        <x:f>IF(OR(H95="Vundet",H95="Tabt"),1,0)</x:f>
        <x:v>0</x:v>
      </x:c>
      <x:c r="AL95" s="60" t="n"/>
      <x:c r="AM95" s="60" t="n">
        <x:f>MAX($AG$10:$AG$209)</x:f>
        <x:v>4</x:v>
      </x:c>
      <x:c r="AN95" s="60" t="str">
        <x:f>IF(C95="","",IF(AND(C96&lt;&gt;"",C96&lt;&gt;C95),1,0))</x:f>
      </x:c>
      <x:c r="AO95" s="60" t="n"/>
      <x:c r="AP95" s="60" t="n">
        <x:f>MAX($AG$10:$AG$209)</x:f>
        <x:v>4</x:v>
      </x:c>
      <x:c r="AQ95" t="str">
        <x:f>AG95</x:f>
      </x:c>
      <x:c r="AR95" t="n">
        <x:f>C95</x:f>
        <x:v>0</x:v>
      </x:c>
      <x:c r="AS95" t="n">
        <x:f>E95</x:f>
        <x:v>0</x:v>
      </x:c>
    </x:row>
    <x:row r="96">
      <x:c r="A96" s="60" t="str">
        <x:f>IF(C96="","",COUNTIF($C$10:C96,"&lt;&gt;"))</x:f>
      </x:c>
      <x:c r="B96" s="122" t="n"/>
      <x:c r="C96" s="87" t="n"/>
      <x:c r="D96" s="87" t="n"/>
      <x:c r="E96" s="87" t="n"/>
      <x:c r="F96" s="87" t="n"/>
      <x:c r="G96" s="87" t="n"/>
      <x:c r="H96" s="87" t="n"/>
      <x:c r="I96" s="87" t="n"/>
      <x:c r="J96" s="87" t="n"/>
      <x:c r="K96" s="87" t="n"/>
      <x:c r="L96" s="87" t="n"/>
      <x:c r="M96" s="87" t="n"/>
      <x:c r="N96" s="87" t="n"/>
      <x:c r="O96" s="62" t="str">
        <x:f>IF(G96="","",IF(G96="Single",AH96,IF(G96="Double",AI96,AJ96)))</x:f>
      </x:c>
      <x:c r="P96" s="62" t="str">
        <x:f>IF(OR(G96="",H96="Ikke spillet"),"",IF(G96="Single",O96,IF(J96="","",(O96+J96)/2)))</x:f>
      </x:c>
      <x:c r="Q96" s="62" t="str">
        <x:f>IF(OR(G96="",H96="Ikke spillet"),"",IF(G96="Single",L96,IF(OR(L96="",N96=""),"",(L96+N96)/2)))</x:f>
      </x:c>
      <x:c r="R96" s="62" t="str">
        <x:f>IF(OR(P96="",Q96=""),"",Q96-P96)</x:f>
      </x:c>
      <x:c r="S96" s="62" t="str">
        <x:f>IF(H96="Ikke spillet","",IF(R96="","",IF(ABS(R96)&lt;0.000001,"Lige (0)",VLOOKUP(ABS(R96),'BD Pointtabel'!$A$4:$G$15,2,TRUE))))</x:f>
      </x:c>
      <x:c r="T96" s="62" t="str">
        <x:f>IF(H96="Ikke spillet","Ikke spillet",IF(H96="Planlagt","Planlagt",IF(OR(H96="",P96="",Q96=""),"",IF(H96="Vundet",IF(R96&gt;0,"Uventet sejr","Ventet sejr"),IF(R96&gt;=0,"Ventet nederlag","Uventet nederlag")))))</x:f>
      </x:c>
      <x:c r="U96" s="62" t="str">
        <x:f>IF(OR(H96="Ikke spillet",H96="Planlagt"),"",IF(OR(G96="",H96="",P96="",Q96=""),"",IF(AND(F96="Ungdomsholdturnering",OR(G96="Double",G96="Mix"),H96="Tabt"),0,IF(H96="Vundet",IF(R96&gt;0,VLOOKUP(ABS(R96),'BD Pointtabel'!$A$4:$G$15,4,TRUE),VLOOKUP(ABS(R96),'BD Pointtabel'!$A$4:$G$15,7,TRUE)),IF(R96&gt;=0,VLOOKUP(ABS(R96),'BD Pointtabel'!$A$4:$G$15,6,TRUE),VLOOKUP(ABS(R96),'BD Pointtabel'!$A$4:$G$15,3,TRUE))))))</x:f>
      </x:c>
      <x:c r="V96" s="62" t="str">
        <x:f>IF(G96="","",SUMIFS($U$10:U96,$AG$10:AG96,AG96,$G$10:G96,G96))</x:f>
      </x:c>
      <x:c r="W96" s="62" t="str">
        <x:f>IF(C96="","",IF(AN96&lt;&gt;1,"",IF(G96="Single",AA96,IF(G96="Double",AC96,AE96))))</x:f>
      </x:c>
      <x:c r="X96" s="62" t="str">
        <x:f>IF(C96="","",IF(AN96&lt;&gt;1,"",ROUND(((AA96*AB96+AC96*AD96+AE96*AF96)/(AB96+AD96+AF96))+IF((MAX(AA96,AC96,AE96)-(AA96+AC96+AE96-MAX(AA96,AC96,AE96)-MIN(AA96,AC96,AE96)))&lt;'Model &amp; indstillinger'!$E$16,'Model &amp; indstillinger'!$E$18,'Model &amp; indstillinger'!$E$20)*(MAX(AA96,AC96,AE96)-((AA96*AB96+AC96*AD96+AE96*AF96)/(AB96+AD96+AF96))),0)))</x:f>
      </x:c>
      <x:c r="Y96" s="62" t="str">
        <x:f>IF(X96="","",'Model &amp; indstillinger'!$B$4-X96)</x:f>
      </x:c>
      <x:c r="Z96" s="62" t="str">
        <x:f>IF(C96="","",IF(H96="Planlagt","Planlagt – ingen point endnu",IF(H96="Ikke spillet","Ikke spillet – tæller ikke som kamp og giver ingen point",IF(AN96=1,"STÆVNE SLUT – samlet point tilskrives","Frosset pointgrundlag – ingen tilskrivning endnu"))))</x:f>
      </x:c>
      <x:c r="AA96" s="60" t="str">
        <x:f>IF(C96="","",'Model &amp; indstillinger'!$B$6+SUMIFS($U$10:U96,$G$10:G96,"Single"))</x:f>
      </x:c>
      <x:c r="AB96" s="60" t="str">
        <x:f>IF(C96="","",'Model &amp; indstillinger'!$B$7+COUNTIFS($G$10:G96,"Single",$AK$10:AK96,1))</x:f>
      </x:c>
      <x:c r="AC96" s="60" t="str">
        <x:f>IF(C96="","",'Model &amp; indstillinger'!$B$8+SUMIFS($U$10:U96,$G$10:G96,"Double"))</x:f>
      </x:c>
      <x:c r="AD96" s="60" t="str">
        <x:f>IF(C96="","",'Model &amp; indstillinger'!$B$9+COUNTIFS($G$10:G96,"Double",$AK$10:AK96,1))</x:f>
      </x:c>
      <x:c r="AE96" s="60" t="str">
        <x:f>IF(C96="","",'Model &amp; indstillinger'!$B$10+SUMIFS($U$10:U96,$G$10:G96,"Mix"))</x:f>
      </x:c>
      <x:c r="AF96" s="60" t="str">
        <x:f>IF(C96="","",'Model &amp; indstillinger'!$B$11+COUNTIFS($G$10:G96,"Mix",$AK$10:AK96,1))</x:f>
      </x:c>
      <x:c r="AG96" s="60" t="str">
        <x:f>IF(C96="","",IF(C96=C95,AG95,AG95+1))</x:f>
      </x:c>
      <x:c r="AH96" s="60" t="str">
        <x:f>IF(C96="","",IF(AG96=AG95,AH95,AA95))</x:f>
      </x:c>
      <x:c r="AI96" s="60" t="str">
        <x:f>IF(C96="","",IF(AG96=AG95,AI95,AC95))</x:f>
      </x:c>
      <x:c r="AJ96" s="60" t="str">
        <x:f>IF(C96="","",IF(AG96=AG95,AJ95,AE95))</x:f>
      </x:c>
      <x:c r="AK96" s="60" t="n">
        <x:f>IF(OR(H96="Vundet",H96="Tabt"),1,0)</x:f>
        <x:v>0</x:v>
      </x:c>
      <x:c r="AL96" s="60" t="n"/>
      <x:c r="AM96" s="60" t="n">
        <x:f>MAX($AG$10:$AG$209)</x:f>
        <x:v>4</x:v>
      </x:c>
      <x:c r="AN96" s="60" t="str">
        <x:f>IF(C96="","",IF(AND(C97&lt;&gt;"",C97&lt;&gt;C96),1,0))</x:f>
      </x:c>
      <x:c r="AO96" s="60" t="n"/>
      <x:c r="AP96" s="60" t="n">
        <x:f>MAX($AG$10:$AG$209)</x:f>
        <x:v>4</x:v>
      </x:c>
      <x:c r="AQ96" t="str">
        <x:f>AG96</x:f>
      </x:c>
      <x:c r="AR96" t="n">
        <x:f>C96</x:f>
        <x:v>0</x:v>
      </x:c>
      <x:c r="AS96" t="n">
        <x:f>E96</x:f>
        <x:v>0</x:v>
      </x:c>
    </x:row>
    <x:row r="97">
      <x:c r="A97" s="60" t="str">
        <x:f>IF(C97="","",COUNTIF($C$10:C97,"&lt;&gt;"))</x:f>
      </x:c>
      <x:c r="B97" s="122" t="n"/>
      <x:c r="C97" s="87" t="n"/>
      <x:c r="D97" s="87" t="n"/>
      <x:c r="E97" s="87" t="n"/>
      <x:c r="F97" s="87" t="n"/>
      <x:c r="G97" s="87" t="n"/>
      <x:c r="H97" s="87" t="n"/>
      <x:c r="I97" s="87" t="n"/>
      <x:c r="J97" s="87" t="n"/>
      <x:c r="K97" s="87" t="n"/>
      <x:c r="L97" s="87" t="n"/>
      <x:c r="M97" s="87" t="n"/>
      <x:c r="N97" s="87" t="n"/>
      <x:c r="O97" s="62" t="str">
        <x:f>IF(G97="","",IF(G97="Single",AH97,IF(G97="Double",AI97,AJ97)))</x:f>
      </x:c>
      <x:c r="P97" s="62" t="str">
        <x:f>IF(OR(G97="",H97="Ikke spillet"),"",IF(G97="Single",O97,IF(J97="","",(O97+J97)/2)))</x:f>
      </x:c>
      <x:c r="Q97" s="62" t="str">
        <x:f>IF(OR(G97="",H97="Ikke spillet"),"",IF(G97="Single",L97,IF(OR(L97="",N97=""),"",(L97+N97)/2)))</x:f>
      </x:c>
      <x:c r="R97" s="62" t="str">
        <x:f>IF(OR(P97="",Q97=""),"",Q97-P97)</x:f>
      </x:c>
      <x:c r="S97" s="62" t="str">
        <x:f>IF(H97="Ikke spillet","",IF(R97="","",IF(ABS(R97)&lt;0.000001,"Lige (0)",VLOOKUP(ABS(R97),'BD Pointtabel'!$A$4:$G$15,2,TRUE))))</x:f>
      </x:c>
      <x:c r="T97" s="62" t="str">
        <x:f>IF(H97="Ikke spillet","Ikke spillet",IF(H97="Planlagt","Planlagt",IF(OR(H97="",P97="",Q97=""),"",IF(H97="Vundet",IF(R97&gt;0,"Uventet sejr","Ventet sejr"),IF(R97&gt;=0,"Ventet nederlag","Uventet nederlag")))))</x:f>
      </x:c>
      <x:c r="U97" s="62" t="str">
        <x:f>IF(OR(H97="Ikke spillet",H97="Planlagt"),"",IF(OR(G97="",H97="",P97="",Q97=""),"",IF(AND(F97="Ungdomsholdturnering",OR(G97="Double",G97="Mix"),H97="Tabt"),0,IF(H97="Vundet",IF(R97&gt;0,VLOOKUP(ABS(R97),'BD Pointtabel'!$A$4:$G$15,4,TRUE),VLOOKUP(ABS(R97),'BD Pointtabel'!$A$4:$G$15,7,TRUE)),IF(R97&gt;=0,VLOOKUP(ABS(R97),'BD Pointtabel'!$A$4:$G$15,6,TRUE),VLOOKUP(ABS(R97),'BD Pointtabel'!$A$4:$G$15,3,TRUE))))))</x:f>
      </x:c>
      <x:c r="V97" s="62" t="str">
        <x:f>IF(G97="","",SUMIFS($U$10:U97,$AG$10:AG97,AG97,$G$10:G97,G97))</x:f>
      </x:c>
      <x:c r="W97" s="62" t="str">
        <x:f>IF(C97="","",IF(AN97&lt;&gt;1,"",IF(G97="Single",AA97,IF(G97="Double",AC97,AE97))))</x:f>
      </x:c>
      <x:c r="X97" s="62" t="str">
        <x:f>IF(C97="","",IF(AN97&lt;&gt;1,"",ROUND(((AA97*AB97+AC97*AD97+AE97*AF97)/(AB97+AD97+AF97))+IF((MAX(AA97,AC97,AE97)-(AA97+AC97+AE97-MAX(AA97,AC97,AE97)-MIN(AA97,AC97,AE97)))&lt;'Model &amp; indstillinger'!$E$16,'Model &amp; indstillinger'!$E$18,'Model &amp; indstillinger'!$E$20)*(MAX(AA97,AC97,AE97)-((AA97*AB97+AC97*AD97+AE97*AF97)/(AB97+AD97+AF97))),0)))</x:f>
      </x:c>
      <x:c r="Y97" s="62" t="str">
        <x:f>IF(X97="","",'Model &amp; indstillinger'!$B$4-X97)</x:f>
      </x:c>
      <x:c r="Z97" s="62" t="str">
        <x:f>IF(C97="","",IF(H97="Planlagt","Planlagt – ingen point endnu",IF(H97="Ikke spillet","Ikke spillet – tæller ikke som kamp og giver ingen point",IF(AN97=1,"STÆVNE SLUT – samlet point tilskrives","Frosset pointgrundlag – ingen tilskrivning endnu"))))</x:f>
      </x:c>
      <x:c r="AA97" s="60" t="str">
        <x:f>IF(C97="","",'Model &amp; indstillinger'!$B$6+SUMIFS($U$10:U97,$G$10:G97,"Single"))</x:f>
      </x:c>
      <x:c r="AB97" s="60" t="str">
        <x:f>IF(C97="","",'Model &amp; indstillinger'!$B$7+COUNTIFS($G$10:G97,"Single",$AK$10:AK97,1))</x:f>
      </x:c>
      <x:c r="AC97" s="60" t="str">
        <x:f>IF(C97="","",'Model &amp; indstillinger'!$B$8+SUMIFS($U$10:U97,$G$10:G97,"Double"))</x:f>
      </x:c>
      <x:c r="AD97" s="60" t="str">
        <x:f>IF(C97="","",'Model &amp; indstillinger'!$B$9+COUNTIFS($G$10:G97,"Double",$AK$10:AK97,1))</x:f>
      </x:c>
      <x:c r="AE97" s="60" t="str">
        <x:f>IF(C97="","",'Model &amp; indstillinger'!$B$10+SUMIFS($U$10:U97,$G$10:G97,"Mix"))</x:f>
      </x:c>
      <x:c r="AF97" s="60" t="str">
        <x:f>IF(C97="","",'Model &amp; indstillinger'!$B$11+COUNTIFS($G$10:G97,"Mix",$AK$10:AK97,1))</x:f>
      </x:c>
      <x:c r="AG97" s="60" t="str">
        <x:f>IF(C97="","",IF(C97=C96,AG96,AG96+1))</x:f>
      </x:c>
      <x:c r="AH97" s="60" t="str">
        <x:f>IF(C97="","",IF(AG97=AG96,AH96,AA96))</x:f>
      </x:c>
      <x:c r="AI97" s="60" t="str">
        <x:f>IF(C97="","",IF(AG97=AG96,AI96,AC96))</x:f>
      </x:c>
      <x:c r="AJ97" s="60" t="str">
        <x:f>IF(C97="","",IF(AG97=AG96,AJ96,AE96))</x:f>
      </x:c>
      <x:c r="AK97" s="60" t="n">
        <x:f>IF(OR(H97="Vundet",H97="Tabt"),1,0)</x:f>
        <x:v>0</x:v>
      </x:c>
      <x:c r="AL97" s="60" t="n"/>
      <x:c r="AM97" s="60" t="n">
        <x:f>MAX($AG$10:$AG$209)</x:f>
        <x:v>4</x:v>
      </x:c>
      <x:c r="AN97" s="60" t="str">
        <x:f>IF(C97="","",IF(AND(C98&lt;&gt;"",C98&lt;&gt;C97),1,0))</x:f>
      </x:c>
      <x:c r="AO97" s="60" t="n"/>
      <x:c r="AP97" s="60" t="n">
        <x:f>MAX($AG$10:$AG$209)</x:f>
        <x:v>4</x:v>
      </x:c>
      <x:c r="AQ97" t="str">
        <x:f>AG97</x:f>
      </x:c>
      <x:c r="AR97" t="n">
        <x:f>C97</x:f>
        <x:v>0</x:v>
      </x:c>
      <x:c r="AS97" t="n">
        <x:f>E97</x:f>
        <x:v>0</x:v>
      </x:c>
    </x:row>
    <x:row r="98">
      <x:c r="A98" s="60" t="str">
        <x:f>IF(C98="","",COUNTIF($C$10:C98,"&lt;&gt;"))</x:f>
      </x:c>
      <x:c r="B98" s="122" t="n"/>
      <x:c r="C98" s="87" t="n"/>
      <x:c r="D98" s="87" t="n"/>
      <x:c r="E98" s="87" t="n"/>
      <x:c r="F98" s="87" t="n"/>
      <x:c r="G98" s="87" t="n"/>
      <x:c r="H98" s="87" t="n"/>
      <x:c r="I98" s="87" t="n"/>
      <x:c r="J98" s="87" t="n"/>
      <x:c r="K98" s="87" t="n"/>
      <x:c r="L98" s="87" t="n"/>
      <x:c r="M98" s="87" t="n"/>
      <x:c r="N98" s="87" t="n"/>
      <x:c r="O98" s="62" t="str">
        <x:f>IF(G98="","",IF(G98="Single",AH98,IF(G98="Double",AI98,AJ98)))</x:f>
      </x:c>
      <x:c r="P98" s="62" t="str">
        <x:f>IF(OR(G98="",H98="Ikke spillet"),"",IF(G98="Single",O98,IF(J98="","",(O98+J98)/2)))</x:f>
      </x:c>
      <x:c r="Q98" s="62" t="str">
        <x:f>IF(OR(G98="",H98="Ikke spillet"),"",IF(G98="Single",L98,IF(OR(L98="",N98=""),"",(L98+N98)/2)))</x:f>
      </x:c>
      <x:c r="R98" s="62" t="str">
        <x:f>IF(OR(P98="",Q98=""),"",Q98-P98)</x:f>
      </x:c>
      <x:c r="S98" s="62" t="str">
        <x:f>IF(H98="Ikke spillet","",IF(R98="","",IF(ABS(R98)&lt;0.000001,"Lige (0)",VLOOKUP(ABS(R98),'BD Pointtabel'!$A$4:$G$15,2,TRUE))))</x:f>
      </x:c>
      <x:c r="T98" s="62" t="str">
        <x:f>IF(H98="Ikke spillet","Ikke spillet",IF(H98="Planlagt","Planlagt",IF(OR(H98="",P98="",Q98=""),"",IF(H98="Vundet",IF(R98&gt;0,"Uventet sejr","Ventet sejr"),IF(R98&gt;=0,"Ventet nederlag","Uventet nederlag")))))</x:f>
      </x:c>
      <x:c r="U98" s="62" t="str">
        <x:f>IF(OR(H98="Ikke spillet",H98="Planlagt"),"",IF(OR(G98="",H98="",P98="",Q98=""),"",IF(AND(F98="Ungdomsholdturnering",OR(G98="Double",G98="Mix"),H98="Tabt"),0,IF(H98="Vundet",IF(R98&gt;0,VLOOKUP(ABS(R98),'BD Pointtabel'!$A$4:$G$15,4,TRUE),VLOOKUP(ABS(R98),'BD Pointtabel'!$A$4:$G$15,7,TRUE)),IF(R98&gt;=0,VLOOKUP(ABS(R98),'BD Pointtabel'!$A$4:$G$15,6,TRUE),VLOOKUP(ABS(R98),'BD Pointtabel'!$A$4:$G$15,3,TRUE))))))</x:f>
      </x:c>
      <x:c r="V98" s="62" t="str">
        <x:f>IF(G98="","",SUMIFS($U$10:U98,$AG$10:AG98,AG98,$G$10:G98,G98))</x:f>
      </x:c>
      <x:c r="W98" s="62" t="str">
        <x:f>IF(C98="","",IF(AN98&lt;&gt;1,"",IF(G98="Single",AA98,IF(G98="Double",AC98,AE98))))</x:f>
      </x:c>
      <x:c r="X98" s="62" t="str">
        <x:f>IF(C98="","",IF(AN98&lt;&gt;1,"",ROUND(((AA98*AB98+AC98*AD98+AE98*AF98)/(AB98+AD98+AF98))+IF((MAX(AA98,AC98,AE98)-(AA98+AC98+AE98-MAX(AA98,AC98,AE98)-MIN(AA98,AC98,AE98)))&lt;'Model &amp; indstillinger'!$E$16,'Model &amp; indstillinger'!$E$18,'Model &amp; indstillinger'!$E$20)*(MAX(AA98,AC98,AE98)-((AA98*AB98+AC98*AD98+AE98*AF98)/(AB98+AD98+AF98))),0)))</x:f>
      </x:c>
      <x:c r="Y98" s="62" t="str">
        <x:f>IF(X98="","",'Model &amp; indstillinger'!$B$4-X98)</x:f>
      </x:c>
      <x:c r="Z98" s="62" t="str">
        <x:f>IF(C98="","",IF(H98="Planlagt","Planlagt – ingen point endnu",IF(H98="Ikke spillet","Ikke spillet – tæller ikke som kamp og giver ingen point",IF(AN98=1,"STÆVNE SLUT – samlet point tilskrives","Frosset pointgrundlag – ingen tilskrivning endnu"))))</x:f>
      </x:c>
      <x:c r="AA98" s="60" t="str">
        <x:f>IF(C98="","",'Model &amp; indstillinger'!$B$6+SUMIFS($U$10:U98,$G$10:G98,"Single"))</x:f>
      </x:c>
      <x:c r="AB98" s="60" t="str">
        <x:f>IF(C98="","",'Model &amp; indstillinger'!$B$7+COUNTIFS($G$10:G98,"Single",$AK$10:AK98,1))</x:f>
      </x:c>
      <x:c r="AC98" s="60" t="str">
        <x:f>IF(C98="","",'Model &amp; indstillinger'!$B$8+SUMIFS($U$10:U98,$G$10:G98,"Double"))</x:f>
      </x:c>
      <x:c r="AD98" s="60" t="str">
        <x:f>IF(C98="","",'Model &amp; indstillinger'!$B$9+COUNTIFS($G$10:G98,"Double",$AK$10:AK98,1))</x:f>
      </x:c>
      <x:c r="AE98" s="60" t="str">
        <x:f>IF(C98="","",'Model &amp; indstillinger'!$B$10+SUMIFS($U$10:U98,$G$10:G98,"Mix"))</x:f>
      </x:c>
      <x:c r="AF98" s="60" t="str">
        <x:f>IF(C98="","",'Model &amp; indstillinger'!$B$11+COUNTIFS($G$10:G98,"Mix",$AK$10:AK98,1))</x:f>
      </x:c>
      <x:c r="AG98" s="60" t="str">
        <x:f>IF(C98="","",IF(C98=C97,AG97,AG97+1))</x:f>
      </x:c>
      <x:c r="AH98" s="60" t="str">
        <x:f>IF(C98="","",IF(AG98=AG97,AH97,AA97))</x:f>
      </x:c>
      <x:c r="AI98" s="60" t="str">
        <x:f>IF(C98="","",IF(AG98=AG97,AI97,AC97))</x:f>
      </x:c>
      <x:c r="AJ98" s="60" t="str">
        <x:f>IF(C98="","",IF(AG98=AG97,AJ97,AE97))</x:f>
      </x:c>
      <x:c r="AK98" s="60" t="n">
        <x:f>IF(OR(H98="Vundet",H98="Tabt"),1,0)</x:f>
        <x:v>0</x:v>
      </x:c>
      <x:c r="AL98" s="60" t="n"/>
      <x:c r="AM98" s="60" t="n">
        <x:f>MAX($AG$10:$AG$209)</x:f>
        <x:v>4</x:v>
      </x:c>
      <x:c r="AN98" s="60" t="str">
        <x:f>IF(C98="","",IF(AND(C99&lt;&gt;"",C99&lt;&gt;C98),1,0))</x:f>
      </x:c>
      <x:c r="AO98" s="60" t="n"/>
      <x:c r="AP98" s="60" t="n">
        <x:f>MAX($AG$10:$AG$209)</x:f>
        <x:v>4</x:v>
      </x:c>
      <x:c r="AQ98" t="str">
        <x:f>AG98</x:f>
      </x:c>
      <x:c r="AR98" t="n">
        <x:f>C98</x:f>
        <x:v>0</x:v>
      </x:c>
      <x:c r="AS98" t="n">
        <x:f>E98</x:f>
        <x:v>0</x:v>
      </x:c>
    </x:row>
    <x:row r="99">
      <x:c r="A99" s="60" t="str">
        <x:f>IF(C99="","",COUNTIF($C$10:C99,"&lt;&gt;"))</x:f>
      </x:c>
      <x:c r="B99" s="122" t="n"/>
      <x:c r="C99" s="87" t="n"/>
      <x:c r="D99" s="87" t="n"/>
      <x:c r="E99" s="87" t="n"/>
      <x:c r="F99" s="87" t="n"/>
      <x:c r="G99" s="87" t="n"/>
      <x:c r="H99" s="87" t="n"/>
      <x:c r="I99" s="87" t="n"/>
      <x:c r="J99" s="87" t="n"/>
      <x:c r="K99" s="87" t="n"/>
      <x:c r="L99" s="87" t="n"/>
      <x:c r="M99" s="87" t="n"/>
      <x:c r="N99" s="87" t="n"/>
      <x:c r="O99" s="62" t="str">
        <x:f>IF(G99="","",IF(G99="Single",AH99,IF(G99="Double",AI99,AJ99)))</x:f>
      </x:c>
      <x:c r="P99" s="62" t="str">
        <x:f>IF(OR(G99="",H99="Ikke spillet"),"",IF(G99="Single",O99,IF(J99="","",(O99+J99)/2)))</x:f>
      </x:c>
      <x:c r="Q99" s="62" t="str">
        <x:f>IF(OR(G99="",H99="Ikke spillet"),"",IF(G99="Single",L99,IF(OR(L99="",N99=""),"",(L99+N99)/2)))</x:f>
      </x:c>
      <x:c r="R99" s="62" t="str">
        <x:f>IF(OR(P99="",Q99=""),"",Q99-P99)</x:f>
      </x:c>
      <x:c r="S99" s="62" t="str">
        <x:f>IF(H99="Ikke spillet","",IF(R99="","",IF(ABS(R99)&lt;0.000001,"Lige (0)",VLOOKUP(ABS(R99),'BD Pointtabel'!$A$4:$G$15,2,TRUE))))</x:f>
      </x:c>
      <x:c r="T99" s="62" t="str">
        <x:f>IF(H99="Ikke spillet","Ikke spillet",IF(H99="Planlagt","Planlagt",IF(OR(H99="",P99="",Q99=""),"",IF(H99="Vundet",IF(R99&gt;0,"Uventet sejr","Ventet sejr"),IF(R99&gt;=0,"Ventet nederlag","Uventet nederlag")))))</x:f>
      </x:c>
      <x:c r="U99" s="62" t="str">
        <x:f>IF(OR(H99="Ikke spillet",H99="Planlagt"),"",IF(OR(G99="",H99="",P99="",Q99=""),"",IF(AND(F99="Ungdomsholdturnering",OR(G99="Double",G99="Mix"),H99="Tabt"),0,IF(H99="Vundet",IF(R99&gt;0,VLOOKUP(ABS(R99),'BD Pointtabel'!$A$4:$G$15,4,TRUE),VLOOKUP(ABS(R99),'BD Pointtabel'!$A$4:$G$15,7,TRUE)),IF(R99&gt;=0,VLOOKUP(ABS(R99),'BD Pointtabel'!$A$4:$G$15,6,TRUE),VLOOKUP(ABS(R99),'BD Pointtabel'!$A$4:$G$15,3,TRUE))))))</x:f>
      </x:c>
      <x:c r="V99" s="62" t="str">
        <x:f>IF(G99="","",SUMIFS($U$10:U99,$AG$10:AG99,AG99,$G$10:G99,G99))</x:f>
      </x:c>
      <x:c r="W99" s="62" t="str">
        <x:f>IF(C99="","",IF(AN99&lt;&gt;1,"",IF(G99="Single",AA99,IF(G99="Double",AC99,AE99))))</x:f>
      </x:c>
      <x:c r="X99" s="62" t="str">
        <x:f>IF(C99="","",IF(AN99&lt;&gt;1,"",ROUND(((AA99*AB99+AC99*AD99+AE99*AF99)/(AB99+AD99+AF99))+IF((MAX(AA99,AC99,AE99)-(AA99+AC99+AE99-MAX(AA99,AC99,AE99)-MIN(AA99,AC99,AE99)))&lt;'Model &amp; indstillinger'!$E$16,'Model &amp; indstillinger'!$E$18,'Model &amp; indstillinger'!$E$20)*(MAX(AA99,AC99,AE99)-((AA99*AB99+AC99*AD99+AE99*AF99)/(AB99+AD99+AF99))),0)))</x:f>
      </x:c>
      <x:c r="Y99" s="62" t="str">
        <x:f>IF(X99="","",'Model &amp; indstillinger'!$B$4-X99)</x:f>
      </x:c>
      <x:c r="Z99" s="62" t="str">
        <x:f>IF(C99="","",IF(H99="Planlagt","Planlagt – ingen point endnu",IF(H99="Ikke spillet","Ikke spillet – tæller ikke som kamp og giver ingen point",IF(AN99=1,"STÆVNE SLUT – samlet point tilskrives","Frosset pointgrundlag – ingen tilskrivning endnu"))))</x:f>
      </x:c>
      <x:c r="AA99" s="60" t="str">
        <x:f>IF(C99="","",'Model &amp; indstillinger'!$B$6+SUMIFS($U$10:U99,$G$10:G99,"Single"))</x:f>
      </x:c>
      <x:c r="AB99" s="60" t="str">
        <x:f>IF(C99="","",'Model &amp; indstillinger'!$B$7+COUNTIFS($G$10:G99,"Single",$AK$10:AK99,1))</x:f>
      </x:c>
      <x:c r="AC99" s="60" t="str">
        <x:f>IF(C99="","",'Model &amp; indstillinger'!$B$8+SUMIFS($U$10:U99,$G$10:G99,"Double"))</x:f>
      </x:c>
      <x:c r="AD99" s="60" t="str">
        <x:f>IF(C99="","",'Model &amp; indstillinger'!$B$9+COUNTIFS($G$10:G99,"Double",$AK$10:AK99,1))</x:f>
      </x:c>
      <x:c r="AE99" s="60" t="str">
        <x:f>IF(C99="","",'Model &amp; indstillinger'!$B$10+SUMIFS($U$10:U99,$G$10:G99,"Mix"))</x:f>
      </x:c>
      <x:c r="AF99" s="60" t="str">
        <x:f>IF(C99="","",'Model &amp; indstillinger'!$B$11+COUNTIFS($G$10:G99,"Mix",$AK$10:AK99,1))</x:f>
      </x:c>
      <x:c r="AG99" s="60" t="str">
        <x:f>IF(C99="","",IF(C99=C98,AG98,AG98+1))</x:f>
      </x:c>
      <x:c r="AH99" s="60" t="str">
        <x:f>IF(C99="","",IF(AG99=AG98,AH98,AA98))</x:f>
      </x:c>
      <x:c r="AI99" s="60" t="str">
        <x:f>IF(C99="","",IF(AG99=AG98,AI98,AC98))</x:f>
      </x:c>
      <x:c r="AJ99" s="60" t="str">
        <x:f>IF(C99="","",IF(AG99=AG98,AJ98,AE98))</x:f>
      </x:c>
      <x:c r="AK99" s="60" t="n">
        <x:f>IF(OR(H99="Vundet",H99="Tabt"),1,0)</x:f>
        <x:v>0</x:v>
      </x:c>
      <x:c r="AL99" s="60" t="n"/>
      <x:c r="AM99" s="60" t="n">
        <x:f>MAX($AG$10:$AG$209)</x:f>
        <x:v>4</x:v>
      </x:c>
      <x:c r="AN99" s="60" t="str">
        <x:f>IF(C99="","",IF(AND(C100&lt;&gt;"",C100&lt;&gt;C99),1,0))</x:f>
      </x:c>
      <x:c r="AO99" s="60" t="n"/>
      <x:c r="AP99" s="60" t="n">
        <x:f>MAX($AG$10:$AG$209)</x:f>
        <x:v>4</x:v>
      </x:c>
      <x:c r="AQ99" t="str">
        <x:f>AG99</x:f>
      </x:c>
      <x:c r="AR99" t="n">
        <x:f>C99</x:f>
        <x:v>0</x:v>
      </x:c>
      <x:c r="AS99" t="n">
        <x:f>E99</x:f>
        <x:v>0</x:v>
      </x:c>
    </x:row>
    <x:row r="100">
      <x:c r="A100" s="60" t="str">
        <x:f>IF(C100="","",COUNTIF($C$10:C100,"&lt;&gt;"))</x:f>
      </x:c>
      <x:c r="B100" s="122" t="n"/>
      <x:c r="C100" s="87" t="n"/>
      <x:c r="D100" s="87" t="n"/>
      <x:c r="E100" s="87" t="n"/>
      <x:c r="F100" s="87" t="n"/>
      <x:c r="G100" s="87" t="n"/>
      <x:c r="H100" s="87" t="n"/>
      <x:c r="I100" s="87" t="n"/>
      <x:c r="J100" s="87" t="n"/>
      <x:c r="K100" s="87" t="n"/>
      <x:c r="L100" s="87" t="n"/>
      <x:c r="M100" s="87" t="n"/>
      <x:c r="N100" s="87" t="n"/>
      <x:c r="O100" s="62" t="str">
        <x:f>IF(G100="","",IF(G100="Single",AH100,IF(G100="Double",AI100,AJ100)))</x:f>
      </x:c>
      <x:c r="P100" s="62" t="str">
        <x:f>IF(OR(G100="",H100="Ikke spillet"),"",IF(G100="Single",O100,IF(J100="","",(O100+J100)/2)))</x:f>
      </x:c>
      <x:c r="Q100" s="62" t="str">
        <x:f>IF(OR(G100="",H100="Ikke spillet"),"",IF(G100="Single",L100,IF(OR(L100="",N100=""),"",(L100+N100)/2)))</x:f>
      </x:c>
      <x:c r="R100" s="62" t="str">
        <x:f>IF(OR(P100="",Q100=""),"",Q100-P100)</x:f>
      </x:c>
      <x:c r="S100" s="62" t="str">
        <x:f>IF(H100="Ikke spillet","",IF(R100="","",IF(ABS(R100)&lt;0.000001,"Lige (0)",VLOOKUP(ABS(R100),'BD Pointtabel'!$A$4:$G$15,2,TRUE))))</x:f>
      </x:c>
      <x:c r="T100" s="62" t="str">
        <x:f>IF(H100="Ikke spillet","Ikke spillet",IF(H100="Planlagt","Planlagt",IF(OR(H100="",P100="",Q100=""),"",IF(H100="Vundet",IF(R100&gt;0,"Uventet sejr","Ventet sejr"),IF(R100&gt;=0,"Ventet nederlag","Uventet nederlag")))))</x:f>
      </x:c>
      <x:c r="U100" s="62" t="str">
        <x:f>IF(OR(H100="Ikke spillet",H100="Planlagt"),"",IF(OR(G100="",H100="",P100="",Q100=""),"",IF(AND(F100="Ungdomsholdturnering",OR(G100="Double",G100="Mix"),H100="Tabt"),0,IF(H100="Vundet",IF(R100&gt;0,VLOOKUP(ABS(R100),'BD Pointtabel'!$A$4:$G$15,4,TRUE),VLOOKUP(ABS(R100),'BD Pointtabel'!$A$4:$G$15,7,TRUE)),IF(R100&gt;=0,VLOOKUP(ABS(R100),'BD Pointtabel'!$A$4:$G$15,6,TRUE),VLOOKUP(ABS(R100),'BD Pointtabel'!$A$4:$G$15,3,TRUE))))))</x:f>
      </x:c>
      <x:c r="V100" s="62" t="str">
        <x:f>IF(G100="","",SUMIFS($U$10:U100,$AG$10:AG100,AG100,$G$10:G100,G100))</x:f>
      </x:c>
      <x:c r="W100" s="62" t="str">
        <x:f>IF(C100="","",IF(AN100&lt;&gt;1,"",IF(G100="Single",AA100,IF(G100="Double",AC100,AE100))))</x:f>
      </x:c>
      <x:c r="X100" s="62" t="str">
        <x:f>IF(C100="","",IF(AN100&lt;&gt;1,"",ROUND(((AA100*AB100+AC100*AD100+AE100*AF100)/(AB100+AD100+AF100))+IF((MAX(AA100,AC100,AE100)-(AA100+AC100+AE100-MAX(AA100,AC100,AE100)-MIN(AA100,AC100,AE100)))&lt;'Model &amp; indstillinger'!$E$16,'Model &amp; indstillinger'!$E$18,'Model &amp; indstillinger'!$E$20)*(MAX(AA100,AC100,AE100)-((AA100*AB100+AC100*AD100+AE100*AF100)/(AB100+AD100+AF100))),0)))</x:f>
      </x:c>
      <x:c r="Y100" s="62" t="str">
        <x:f>IF(X100="","",'Model &amp; indstillinger'!$B$4-X100)</x:f>
      </x:c>
      <x:c r="Z100" s="62" t="str">
        <x:f>IF(C100="","",IF(H100="Planlagt","Planlagt – ingen point endnu",IF(H100="Ikke spillet","Ikke spillet – tæller ikke som kamp og giver ingen point",IF(AN100=1,"STÆVNE SLUT – samlet point tilskrives","Frosset pointgrundlag – ingen tilskrivning endnu"))))</x:f>
      </x:c>
      <x:c r="AA100" s="60" t="str">
        <x:f>IF(C100="","",'Model &amp; indstillinger'!$B$6+SUMIFS($U$10:U100,$G$10:G100,"Single"))</x:f>
      </x:c>
      <x:c r="AB100" s="60" t="str">
        <x:f>IF(C100="","",'Model &amp; indstillinger'!$B$7+COUNTIFS($G$10:G100,"Single",$AK$10:AK100,1))</x:f>
      </x:c>
      <x:c r="AC100" s="60" t="str">
        <x:f>IF(C100="","",'Model &amp; indstillinger'!$B$8+SUMIFS($U$10:U100,$G$10:G100,"Double"))</x:f>
      </x:c>
      <x:c r="AD100" s="60" t="str">
        <x:f>IF(C100="","",'Model &amp; indstillinger'!$B$9+COUNTIFS($G$10:G100,"Double",$AK$10:AK100,1))</x:f>
      </x:c>
      <x:c r="AE100" s="60" t="str">
        <x:f>IF(C100="","",'Model &amp; indstillinger'!$B$10+SUMIFS($U$10:U100,$G$10:G100,"Mix"))</x:f>
      </x:c>
      <x:c r="AF100" s="60" t="str">
        <x:f>IF(C100="","",'Model &amp; indstillinger'!$B$11+COUNTIFS($G$10:G100,"Mix",$AK$10:AK100,1))</x:f>
      </x:c>
      <x:c r="AG100" s="60" t="str">
        <x:f>IF(C100="","",IF(C100=C99,AG99,AG99+1))</x:f>
      </x:c>
      <x:c r="AH100" s="60" t="str">
        <x:f>IF(C100="","",IF(AG100=AG99,AH99,AA99))</x:f>
      </x:c>
      <x:c r="AI100" s="60" t="str">
        <x:f>IF(C100="","",IF(AG100=AG99,AI99,AC99))</x:f>
      </x:c>
      <x:c r="AJ100" s="60" t="str">
        <x:f>IF(C100="","",IF(AG100=AG99,AJ99,AE99))</x:f>
      </x:c>
      <x:c r="AK100" s="60" t="n">
        <x:f>IF(OR(H100="Vundet",H100="Tabt"),1,0)</x:f>
        <x:v>0</x:v>
      </x:c>
      <x:c r="AL100" s="60" t="n"/>
      <x:c r="AM100" s="60" t="n">
        <x:f>MAX($AG$10:$AG$209)</x:f>
        <x:v>4</x:v>
      </x:c>
      <x:c r="AN100" s="60" t="str">
        <x:f>IF(C100="","",IF(AND(C101&lt;&gt;"",C101&lt;&gt;C100),1,0))</x:f>
      </x:c>
      <x:c r="AO100" s="60" t="n"/>
      <x:c r="AP100" s="60" t="n">
        <x:f>MAX($AG$10:$AG$209)</x:f>
        <x:v>4</x:v>
      </x:c>
      <x:c r="AQ100" t="str">
        <x:f>AG100</x:f>
      </x:c>
      <x:c r="AR100" t="n">
        <x:f>C100</x:f>
        <x:v>0</x:v>
      </x:c>
      <x:c r="AS100" t="n">
        <x:f>E100</x:f>
        <x:v>0</x:v>
      </x:c>
    </x:row>
    <x:row r="101">
      <x:c r="A101" s="60" t="str">
        <x:f>IF(C101="","",COUNTIF($C$10:C101,"&lt;&gt;"))</x:f>
      </x:c>
      <x:c r="B101" s="122" t="n"/>
      <x:c r="C101" s="87" t="n"/>
      <x:c r="D101" s="87" t="n"/>
      <x:c r="E101" s="87" t="n"/>
      <x:c r="F101" s="87" t="n"/>
      <x:c r="G101" s="87" t="n"/>
      <x:c r="H101" s="87" t="n"/>
      <x:c r="I101" s="87" t="n"/>
      <x:c r="J101" s="87" t="n"/>
      <x:c r="K101" s="87" t="n"/>
      <x:c r="L101" s="87" t="n"/>
      <x:c r="M101" s="87" t="n"/>
      <x:c r="N101" s="87" t="n"/>
      <x:c r="O101" s="62" t="str">
        <x:f>IF(G101="","",IF(G101="Single",AH101,IF(G101="Double",AI101,AJ101)))</x:f>
      </x:c>
      <x:c r="P101" s="62" t="str">
        <x:f>IF(OR(G101="",H101="Ikke spillet"),"",IF(G101="Single",O101,IF(J101="","",(O101+J101)/2)))</x:f>
      </x:c>
      <x:c r="Q101" s="62" t="str">
        <x:f>IF(OR(G101="",H101="Ikke spillet"),"",IF(G101="Single",L101,IF(OR(L101="",N101=""),"",(L101+N101)/2)))</x:f>
      </x:c>
      <x:c r="R101" s="62" t="str">
        <x:f>IF(OR(P101="",Q101=""),"",Q101-P101)</x:f>
      </x:c>
      <x:c r="S101" s="62" t="str">
        <x:f>IF(H101="Ikke spillet","",IF(R101="","",IF(ABS(R101)&lt;0.000001,"Lige (0)",VLOOKUP(ABS(R101),'BD Pointtabel'!$A$4:$G$15,2,TRUE))))</x:f>
      </x:c>
      <x:c r="T101" s="62" t="str">
        <x:f>IF(H101="Ikke spillet","Ikke spillet",IF(H101="Planlagt","Planlagt",IF(OR(H101="",P101="",Q101=""),"",IF(H101="Vundet",IF(R101&gt;0,"Uventet sejr","Ventet sejr"),IF(R101&gt;=0,"Ventet nederlag","Uventet nederlag")))))</x:f>
      </x:c>
      <x:c r="U101" s="62" t="str">
        <x:f>IF(OR(H101="Ikke spillet",H101="Planlagt"),"",IF(OR(G101="",H101="",P101="",Q101=""),"",IF(AND(F101="Ungdomsholdturnering",OR(G101="Double",G101="Mix"),H101="Tabt"),0,IF(H101="Vundet",IF(R101&gt;0,VLOOKUP(ABS(R101),'BD Pointtabel'!$A$4:$G$15,4,TRUE),VLOOKUP(ABS(R101),'BD Pointtabel'!$A$4:$G$15,7,TRUE)),IF(R101&gt;=0,VLOOKUP(ABS(R101),'BD Pointtabel'!$A$4:$G$15,6,TRUE),VLOOKUP(ABS(R101),'BD Pointtabel'!$A$4:$G$15,3,TRUE))))))</x:f>
      </x:c>
      <x:c r="V101" s="62" t="str">
        <x:f>IF(G101="","",SUMIFS($U$10:U101,$AG$10:AG101,AG101,$G$10:G101,G101))</x:f>
      </x:c>
      <x:c r="W101" s="62" t="str">
        <x:f>IF(C101="","",IF(AN101&lt;&gt;1,"",IF(G101="Single",AA101,IF(G101="Double",AC101,AE101))))</x:f>
      </x:c>
      <x:c r="X101" s="62" t="str">
        <x:f>IF(C101="","",IF(AN101&lt;&gt;1,"",ROUND(((AA101*AB101+AC101*AD101+AE101*AF101)/(AB101+AD101+AF101))+IF((MAX(AA101,AC101,AE101)-(AA101+AC101+AE101-MAX(AA101,AC101,AE101)-MIN(AA101,AC101,AE101)))&lt;'Model &amp; indstillinger'!$E$16,'Model &amp; indstillinger'!$E$18,'Model &amp; indstillinger'!$E$20)*(MAX(AA101,AC101,AE101)-((AA101*AB101+AC101*AD101+AE101*AF101)/(AB101+AD101+AF101))),0)))</x:f>
      </x:c>
      <x:c r="Y101" s="62" t="str">
        <x:f>IF(X101="","",'Model &amp; indstillinger'!$B$4-X101)</x:f>
      </x:c>
      <x:c r="Z101" s="62" t="str">
        <x:f>IF(C101="","",IF(H101="Planlagt","Planlagt – ingen point endnu",IF(H101="Ikke spillet","Ikke spillet – tæller ikke som kamp og giver ingen point",IF(AN101=1,"STÆVNE SLUT – samlet point tilskrives","Frosset pointgrundlag – ingen tilskrivning endnu"))))</x:f>
      </x:c>
      <x:c r="AA101" s="60" t="str">
        <x:f>IF(C101="","",'Model &amp; indstillinger'!$B$6+SUMIFS($U$10:U101,$G$10:G101,"Single"))</x:f>
      </x:c>
      <x:c r="AB101" s="60" t="str">
        <x:f>IF(C101="","",'Model &amp; indstillinger'!$B$7+COUNTIFS($G$10:G101,"Single",$AK$10:AK101,1))</x:f>
      </x:c>
      <x:c r="AC101" s="60" t="str">
        <x:f>IF(C101="","",'Model &amp; indstillinger'!$B$8+SUMIFS($U$10:U101,$G$10:G101,"Double"))</x:f>
      </x:c>
      <x:c r="AD101" s="60" t="str">
        <x:f>IF(C101="","",'Model &amp; indstillinger'!$B$9+COUNTIFS($G$10:G101,"Double",$AK$10:AK101,1))</x:f>
      </x:c>
      <x:c r="AE101" s="60" t="str">
        <x:f>IF(C101="","",'Model &amp; indstillinger'!$B$10+SUMIFS($U$10:U101,$G$10:G101,"Mix"))</x:f>
      </x:c>
      <x:c r="AF101" s="60" t="str">
        <x:f>IF(C101="","",'Model &amp; indstillinger'!$B$11+COUNTIFS($G$10:G101,"Mix",$AK$10:AK101,1))</x:f>
      </x:c>
      <x:c r="AG101" s="60" t="str">
        <x:f>IF(C101="","",IF(C101=C100,AG100,AG100+1))</x:f>
      </x:c>
      <x:c r="AH101" s="60" t="str">
        <x:f>IF(C101="","",IF(AG101=AG100,AH100,AA100))</x:f>
      </x:c>
      <x:c r="AI101" s="60" t="str">
        <x:f>IF(C101="","",IF(AG101=AG100,AI100,AC100))</x:f>
      </x:c>
      <x:c r="AJ101" s="60" t="str">
        <x:f>IF(C101="","",IF(AG101=AG100,AJ100,AE100))</x:f>
      </x:c>
      <x:c r="AK101" s="60" t="n">
        <x:f>IF(OR(H101="Vundet",H101="Tabt"),1,0)</x:f>
        <x:v>0</x:v>
      </x:c>
      <x:c r="AL101" s="60" t="n"/>
      <x:c r="AM101" s="60" t="n">
        <x:f>MAX($AG$10:$AG$209)</x:f>
        <x:v>4</x:v>
      </x:c>
      <x:c r="AN101" s="60" t="str">
        <x:f>IF(C101="","",IF(AND(C102&lt;&gt;"",C102&lt;&gt;C101),1,0))</x:f>
      </x:c>
      <x:c r="AO101" s="60" t="n"/>
      <x:c r="AP101" s="60" t="n">
        <x:f>MAX($AG$10:$AG$209)</x:f>
        <x:v>4</x:v>
      </x:c>
      <x:c r="AQ101" t="str">
        <x:f>AG101</x:f>
      </x:c>
      <x:c r="AR101" t="n">
        <x:f>C101</x:f>
        <x:v>0</x:v>
      </x:c>
      <x:c r="AS101" t="n">
        <x:f>E101</x:f>
        <x:v>0</x:v>
      </x:c>
    </x:row>
    <x:row r="102">
      <x:c r="A102" s="60" t="str">
        <x:f>IF(C102="","",COUNTIF($C$10:C102,"&lt;&gt;"))</x:f>
      </x:c>
      <x:c r="B102" s="122" t="n"/>
      <x:c r="C102" s="87" t="n"/>
      <x:c r="D102" s="87" t="n"/>
      <x:c r="E102" s="87" t="n"/>
      <x:c r="F102" s="87" t="n"/>
      <x:c r="G102" s="87" t="n"/>
      <x:c r="H102" s="87" t="n"/>
      <x:c r="I102" s="87" t="n"/>
      <x:c r="J102" s="87" t="n"/>
      <x:c r="K102" s="87" t="n"/>
      <x:c r="L102" s="87" t="n"/>
      <x:c r="M102" s="87" t="n"/>
      <x:c r="N102" s="87" t="n"/>
      <x:c r="O102" s="62" t="str">
        <x:f>IF(G102="","",IF(G102="Single",AH102,IF(G102="Double",AI102,AJ102)))</x:f>
      </x:c>
      <x:c r="P102" s="62" t="str">
        <x:f>IF(OR(G102="",H102="Ikke spillet"),"",IF(G102="Single",O102,IF(J102="","",(O102+J102)/2)))</x:f>
      </x:c>
      <x:c r="Q102" s="62" t="str">
        <x:f>IF(OR(G102="",H102="Ikke spillet"),"",IF(G102="Single",L102,IF(OR(L102="",N102=""),"",(L102+N102)/2)))</x:f>
      </x:c>
      <x:c r="R102" s="62" t="str">
        <x:f>IF(OR(P102="",Q102=""),"",Q102-P102)</x:f>
      </x:c>
      <x:c r="S102" s="62" t="str">
        <x:f>IF(H102="Ikke spillet","",IF(R102="","",IF(ABS(R102)&lt;0.000001,"Lige (0)",VLOOKUP(ABS(R102),'BD Pointtabel'!$A$4:$G$15,2,TRUE))))</x:f>
      </x:c>
      <x:c r="T102" s="62" t="str">
        <x:f>IF(H102="Ikke spillet","Ikke spillet",IF(H102="Planlagt","Planlagt",IF(OR(H102="",P102="",Q102=""),"",IF(H102="Vundet",IF(R102&gt;0,"Uventet sejr","Ventet sejr"),IF(R102&gt;=0,"Ventet nederlag","Uventet nederlag")))))</x:f>
      </x:c>
      <x:c r="U102" s="62" t="str">
        <x:f>IF(OR(H102="Ikke spillet",H102="Planlagt"),"",IF(OR(G102="",H102="",P102="",Q102=""),"",IF(AND(F102="Ungdomsholdturnering",OR(G102="Double",G102="Mix"),H102="Tabt"),0,IF(H102="Vundet",IF(R102&gt;0,VLOOKUP(ABS(R102),'BD Pointtabel'!$A$4:$G$15,4,TRUE),VLOOKUP(ABS(R102),'BD Pointtabel'!$A$4:$G$15,7,TRUE)),IF(R102&gt;=0,VLOOKUP(ABS(R102),'BD Pointtabel'!$A$4:$G$15,6,TRUE),VLOOKUP(ABS(R102),'BD Pointtabel'!$A$4:$G$15,3,TRUE))))))</x:f>
      </x:c>
      <x:c r="V102" s="62" t="str">
        <x:f>IF(G102="","",SUMIFS($U$10:U102,$AG$10:AG102,AG102,$G$10:G102,G102))</x:f>
      </x:c>
      <x:c r="W102" s="62" t="str">
        <x:f>IF(C102="","",IF(AN102&lt;&gt;1,"",IF(G102="Single",AA102,IF(G102="Double",AC102,AE102))))</x:f>
      </x:c>
      <x:c r="X102" s="62" t="str">
        <x:f>IF(C102="","",IF(AN102&lt;&gt;1,"",ROUND(((AA102*AB102+AC102*AD102+AE102*AF102)/(AB102+AD102+AF102))+IF((MAX(AA102,AC102,AE102)-(AA102+AC102+AE102-MAX(AA102,AC102,AE102)-MIN(AA102,AC102,AE102)))&lt;'Model &amp; indstillinger'!$E$16,'Model &amp; indstillinger'!$E$18,'Model &amp; indstillinger'!$E$20)*(MAX(AA102,AC102,AE102)-((AA102*AB102+AC102*AD102+AE102*AF102)/(AB102+AD102+AF102))),0)))</x:f>
      </x:c>
      <x:c r="Y102" s="62" t="str">
        <x:f>IF(X102="","",'Model &amp; indstillinger'!$B$4-X102)</x:f>
      </x:c>
      <x:c r="Z102" s="62" t="str">
        <x:f>IF(C102="","",IF(H102="Planlagt","Planlagt – ingen point endnu",IF(H102="Ikke spillet","Ikke spillet – tæller ikke som kamp og giver ingen point",IF(AN102=1,"STÆVNE SLUT – samlet point tilskrives","Frosset pointgrundlag – ingen tilskrivning endnu"))))</x:f>
      </x:c>
      <x:c r="AA102" s="60" t="str">
        <x:f>IF(C102="","",'Model &amp; indstillinger'!$B$6+SUMIFS($U$10:U102,$G$10:G102,"Single"))</x:f>
      </x:c>
      <x:c r="AB102" s="60" t="str">
        <x:f>IF(C102="","",'Model &amp; indstillinger'!$B$7+COUNTIFS($G$10:G102,"Single",$AK$10:AK102,1))</x:f>
      </x:c>
      <x:c r="AC102" s="60" t="str">
        <x:f>IF(C102="","",'Model &amp; indstillinger'!$B$8+SUMIFS($U$10:U102,$G$10:G102,"Double"))</x:f>
      </x:c>
      <x:c r="AD102" s="60" t="str">
        <x:f>IF(C102="","",'Model &amp; indstillinger'!$B$9+COUNTIFS($G$10:G102,"Double",$AK$10:AK102,1))</x:f>
      </x:c>
      <x:c r="AE102" s="60" t="str">
        <x:f>IF(C102="","",'Model &amp; indstillinger'!$B$10+SUMIFS($U$10:U102,$G$10:G102,"Mix"))</x:f>
      </x:c>
      <x:c r="AF102" s="60" t="str">
        <x:f>IF(C102="","",'Model &amp; indstillinger'!$B$11+COUNTIFS($G$10:G102,"Mix",$AK$10:AK102,1))</x:f>
      </x:c>
      <x:c r="AG102" s="60" t="str">
        <x:f>IF(C102="","",IF(C102=C101,AG101,AG101+1))</x:f>
      </x:c>
      <x:c r="AH102" s="60" t="str">
        <x:f>IF(C102="","",IF(AG102=AG101,AH101,AA101))</x:f>
      </x:c>
      <x:c r="AI102" s="60" t="str">
        <x:f>IF(C102="","",IF(AG102=AG101,AI101,AC101))</x:f>
      </x:c>
      <x:c r="AJ102" s="60" t="str">
        <x:f>IF(C102="","",IF(AG102=AG101,AJ101,AE101))</x:f>
      </x:c>
      <x:c r="AK102" s="60" t="n">
        <x:f>IF(OR(H102="Vundet",H102="Tabt"),1,0)</x:f>
        <x:v>0</x:v>
      </x:c>
      <x:c r="AL102" s="60" t="n"/>
      <x:c r="AM102" s="60" t="n">
        <x:f>MAX($AG$10:$AG$209)</x:f>
        <x:v>4</x:v>
      </x:c>
      <x:c r="AN102" s="60" t="str">
        <x:f>IF(C102="","",IF(AND(C103&lt;&gt;"",C103&lt;&gt;C102),1,0))</x:f>
      </x:c>
      <x:c r="AO102" s="60" t="n"/>
      <x:c r="AP102" s="60" t="n">
        <x:f>MAX($AG$10:$AG$209)</x:f>
        <x:v>4</x:v>
      </x:c>
      <x:c r="AQ102" t="str">
        <x:f>AG102</x:f>
      </x:c>
      <x:c r="AR102" t="n">
        <x:f>C102</x:f>
        <x:v>0</x:v>
      </x:c>
      <x:c r="AS102" t="n">
        <x:f>E102</x:f>
        <x:v>0</x:v>
      </x:c>
    </x:row>
    <x:row r="103">
      <x:c r="A103" s="60" t="str">
        <x:f>IF(C103="","",COUNTIF($C$10:C103,"&lt;&gt;"))</x:f>
      </x:c>
      <x:c r="B103" s="122" t="n"/>
      <x:c r="C103" s="87" t="n"/>
      <x:c r="D103" s="87" t="n"/>
      <x:c r="E103" s="87" t="n"/>
      <x:c r="F103" s="87" t="n"/>
      <x:c r="G103" s="87" t="n"/>
      <x:c r="H103" s="87" t="n"/>
      <x:c r="I103" s="87" t="n"/>
      <x:c r="J103" s="87" t="n"/>
      <x:c r="K103" s="87" t="n"/>
      <x:c r="L103" s="87" t="n"/>
      <x:c r="M103" s="87" t="n"/>
      <x:c r="N103" s="87" t="n"/>
      <x:c r="O103" s="62" t="str">
        <x:f>IF(G103="","",IF(G103="Single",AH103,IF(G103="Double",AI103,AJ103)))</x:f>
      </x:c>
      <x:c r="P103" s="62" t="str">
        <x:f>IF(OR(G103="",H103="Ikke spillet"),"",IF(G103="Single",O103,IF(J103="","",(O103+J103)/2)))</x:f>
      </x:c>
      <x:c r="Q103" s="62" t="str">
        <x:f>IF(OR(G103="",H103="Ikke spillet"),"",IF(G103="Single",L103,IF(OR(L103="",N103=""),"",(L103+N103)/2)))</x:f>
      </x:c>
      <x:c r="R103" s="62" t="str">
        <x:f>IF(OR(P103="",Q103=""),"",Q103-P103)</x:f>
      </x:c>
      <x:c r="S103" s="62" t="str">
        <x:f>IF(H103="Ikke spillet","",IF(R103="","",IF(ABS(R103)&lt;0.000001,"Lige (0)",VLOOKUP(ABS(R103),'BD Pointtabel'!$A$4:$G$15,2,TRUE))))</x:f>
      </x:c>
      <x:c r="T103" s="62" t="str">
        <x:f>IF(H103="Ikke spillet","Ikke spillet",IF(H103="Planlagt","Planlagt",IF(OR(H103="",P103="",Q103=""),"",IF(H103="Vundet",IF(R103&gt;0,"Uventet sejr","Ventet sejr"),IF(R103&gt;=0,"Ventet nederlag","Uventet nederlag")))))</x:f>
      </x:c>
      <x:c r="U103" s="62" t="str">
        <x:f>IF(OR(H103="Ikke spillet",H103="Planlagt"),"",IF(OR(G103="",H103="",P103="",Q103=""),"",IF(AND(F103="Ungdomsholdturnering",OR(G103="Double",G103="Mix"),H103="Tabt"),0,IF(H103="Vundet",IF(R103&gt;0,VLOOKUP(ABS(R103),'BD Pointtabel'!$A$4:$G$15,4,TRUE),VLOOKUP(ABS(R103),'BD Pointtabel'!$A$4:$G$15,7,TRUE)),IF(R103&gt;=0,VLOOKUP(ABS(R103),'BD Pointtabel'!$A$4:$G$15,6,TRUE),VLOOKUP(ABS(R103),'BD Pointtabel'!$A$4:$G$15,3,TRUE))))))</x:f>
      </x:c>
      <x:c r="V103" s="62" t="str">
        <x:f>IF(G103="","",SUMIFS($U$10:U103,$AG$10:AG103,AG103,$G$10:G103,G103))</x:f>
      </x:c>
      <x:c r="W103" s="62" t="str">
        <x:f>IF(C103="","",IF(AN103&lt;&gt;1,"",IF(G103="Single",AA103,IF(G103="Double",AC103,AE103))))</x:f>
      </x:c>
      <x:c r="X103" s="62" t="str">
        <x:f>IF(C103="","",IF(AN103&lt;&gt;1,"",ROUND(((AA103*AB103+AC103*AD103+AE103*AF103)/(AB103+AD103+AF103))+IF((MAX(AA103,AC103,AE103)-(AA103+AC103+AE103-MAX(AA103,AC103,AE103)-MIN(AA103,AC103,AE103)))&lt;'Model &amp; indstillinger'!$E$16,'Model &amp; indstillinger'!$E$18,'Model &amp; indstillinger'!$E$20)*(MAX(AA103,AC103,AE103)-((AA103*AB103+AC103*AD103+AE103*AF103)/(AB103+AD103+AF103))),0)))</x:f>
      </x:c>
      <x:c r="Y103" s="62" t="str">
        <x:f>IF(X103="","",'Model &amp; indstillinger'!$B$4-X103)</x:f>
      </x:c>
      <x:c r="Z103" s="62" t="str">
        <x:f>IF(C103="","",IF(H103="Planlagt","Planlagt – ingen point endnu",IF(H103="Ikke spillet","Ikke spillet – tæller ikke som kamp og giver ingen point",IF(AN103=1,"STÆVNE SLUT – samlet point tilskrives","Frosset pointgrundlag – ingen tilskrivning endnu"))))</x:f>
      </x:c>
      <x:c r="AA103" s="60" t="str">
        <x:f>IF(C103="","",'Model &amp; indstillinger'!$B$6+SUMIFS($U$10:U103,$G$10:G103,"Single"))</x:f>
      </x:c>
      <x:c r="AB103" s="60" t="str">
        <x:f>IF(C103="","",'Model &amp; indstillinger'!$B$7+COUNTIFS($G$10:G103,"Single",$AK$10:AK103,1))</x:f>
      </x:c>
      <x:c r="AC103" s="60" t="str">
        <x:f>IF(C103="","",'Model &amp; indstillinger'!$B$8+SUMIFS($U$10:U103,$G$10:G103,"Double"))</x:f>
      </x:c>
      <x:c r="AD103" s="60" t="str">
        <x:f>IF(C103="","",'Model &amp; indstillinger'!$B$9+COUNTIFS($G$10:G103,"Double",$AK$10:AK103,1))</x:f>
      </x:c>
      <x:c r="AE103" s="60" t="str">
        <x:f>IF(C103="","",'Model &amp; indstillinger'!$B$10+SUMIFS($U$10:U103,$G$10:G103,"Mix"))</x:f>
      </x:c>
      <x:c r="AF103" s="60" t="str">
        <x:f>IF(C103="","",'Model &amp; indstillinger'!$B$11+COUNTIFS($G$10:G103,"Mix",$AK$10:AK103,1))</x:f>
      </x:c>
      <x:c r="AG103" s="60" t="str">
        <x:f>IF(C103="","",IF(C103=C102,AG102,AG102+1))</x:f>
      </x:c>
      <x:c r="AH103" s="60" t="str">
        <x:f>IF(C103="","",IF(AG103=AG102,AH102,AA102))</x:f>
      </x:c>
      <x:c r="AI103" s="60" t="str">
        <x:f>IF(C103="","",IF(AG103=AG102,AI102,AC102))</x:f>
      </x:c>
      <x:c r="AJ103" s="60" t="str">
        <x:f>IF(C103="","",IF(AG103=AG102,AJ102,AE102))</x:f>
      </x:c>
      <x:c r="AK103" s="60" t="n">
        <x:f>IF(OR(H103="Vundet",H103="Tabt"),1,0)</x:f>
        <x:v>0</x:v>
      </x:c>
      <x:c r="AL103" s="60" t="n"/>
      <x:c r="AM103" s="60" t="n">
        <x:f>MAX($AG$10:$AG$209)</x:f>
        <x:v>4</x:v>
      </x:c>
      <x:c r="AN103" s="60" t="str">
        <x:f>IF(C103="","",IF(AND(C104&lt;&gt;"",C104&lt;&gt;C103),1,0))</x:f>
      </x:c>
      <x:c r="AO103" s="60" t="n"/>
      <x:c r="AP103" s="60" t="n">
        <x:f>MAX($AG$10:$AG$209)</x:f>
        <x:v>4</x:v>
      </x:c>
      <x:c r="AQ103" t="str">
        <x:f>AG103</x:f>
      </x:c>
      <x:c r="AR103" t="n">
        <x:f>C103</x:f>
        <x:v>0</x:v>
      </x:c>
      <x:c r="AS103" t="n">
        <x:f>E103</x:f>
        <x:v>0</x:v>
      </x:c>
    </x:row>
    <x:row r="104">
      <x:c r="A104" s="60" t="str">
        <x:f>IF(C104="","",COUNTIF($C$10:C104,"&lt;&gt;"))</x:f>
      </x:c>
      <x:c r="B104" s="122" t="n"/>
      <x:c r="C104" s="87" t="n"/>
      <x:c r="D104" s="87" t="n"/>
      <x:c r="E104" s="87" t="n"/>
      <x:c r="F104" s="87" t="n"/>
      <x:c r="G104" s="87" t="n"/>
      <x:c r="H104" s="87" t="n"/>
      <x:c r="I104" s="87" t="n"/>
      <x:c r="J104" s="87" t="n"/>
      <x:c r="K104" s="87" t="n"/>
      <x:c r="L104" s="87" t="n"/>
      <x:c r="M104" s="87" t="n"/>
      <x:c r="N104" s="87" t="n"/>
      <x:c r="O104" s="62" t="str">
        <x:f>IF(G104="","",IF(G104="Single",AH104,IF(G104="Double",AI104,AJ104)))</x:f>
      </x:c>
      <x:c r="P104" s="62" t="str">
        <x:f>IF(OR(G104="",H104="Ikke spillet"),"",IF(G104="Single",O104,IF(J104="","",(O104+J104)/2)))</x:f>
      </x:c>
      <x:c r="Q104" s="62" t="str">
        <x:f>IF(OR(G104="",H104="Ikke spillet"),"",IF(G104="Single",L104,IF(OR(L104="",N104=""),"",(L104+N104)/2)))</x:f>
      </x:c>
      <x:c r="R104" s="62" t="str">
        <x:f>IF(OR(P104="",Q104=""),"",Q104-P104)</x:f>
      </x:c>
      <x:c r="S104" s="62" t="str">
        <x:f>IF(H104="Ikke spillet","",IF(R104="","",IF(ABS(R104)&lt;0.000001,"Lige (0)",VLOOKUP(ABS(R104),'BD Pointtabel'!$A$4:$G$15,2,TRUE))))</x:f>
      </x:c>
      <x:c r="T104" s="62" t="str">
        <x:f>IF(H104="Ikke spillet","Ikke spillet",IF(H104="Planlagt","Planlagt",IF(OR(H104="",P104="",Q104=""),"",IF(H104="Vundet",IF(R104&gt;0,"Uventet sejr","Ventet sejr"),IF(R104&gt;=0,"Ventet nederlag","Uventet nederlag")))))</x:f>
      </x:c>
      <x:c r="U104" s="62" t="str">
        <x:f>IF(OR(H104="Ikke spillet",H104="Planlagt"),"",IF(OR(G104="",H104="",P104="",Q104=""),"",IF(AND(F104="Ungdomsholdturnering",OR(G104="Double",G104="Mix"),H104="Tabt"),0,IF(H104="Vundet",IF(R104&gt;0,VLOOKUP(ABS(R104),'BD Pointtabel'!$A$4:$G$15,4,TRUE),VLOOKUP(ABS(R104),'BD Pointtabel'!$A$4:$G$15,7,TRUE)),IF(R104&gt;=0,VLOOKUP(ABS(R104),'BD Pointtabel'!$A$4:$G$15,6,TRUE),VLOOKUP(ABS(R104),'BD Pointtabel'!$A$4:$G$15,3,TRUE))))))</x:f>
      </x:c>
      <x:c r="V104" s="62" t="str">
        <x:f>IF(G104="","",SUMIFS($U$10:U104,$AG$10:AG104,AG104,$G$10:G104,G104))</x:f>
      </x:c>
      <x:c r="W104" s="62" t="str">
        <x:f>IF(C104="","",IF(AN104&lt;&gt;1,"",IF(G104="Single",AA104,IF(G104="Double",AC104,AE104))))</x:f>
      </x:c>
      <x:c r="X104" s="62" t="str">
        <x:f>IF(C104="","",IF(AN104&lt;&gt;1,"",ROUND(((AA104*AB104+AC104*AD104+AE104*AF104)/(AB104+AD104+AF104))+IF((MAX(AA104,AC104,AE104)-(AA104+AC104+AE104-MAX(AA104,AC104,AE104)-MIN(AA104,AC104,AE104)))&lt;'Model &amp; indstillinger'!$E$16,'Model &amp; indstillinger'!$E$18,'Model &amp; indstillinger'!$E$20)*(MAX(AA104,AC104,AE104)-((AA104*AB104+AC104*AD104+AE104*AF104)/(AB104+AD104+AF104))),0)))</x:f>
      </x:c>
      <x:c r="Y104" s="62" t="str">
        <x:f>IF(X104="","",'Model &amp; indstillinger'!$B$4-X104)</x:f>
      </x:c>
      <x:c r="Z104" s="62" t="str">
        <x:f>IF(C104="","",IF(H104="Planlagt","Planlagt – ingen point endnu",IF(H104="Ikke spillet","Ikke spillet – tæller ikke som kamp og giver ingen point",IF(AN104=1,"STÆVNE SLUT – samlet point tilskrives","Frosset pointgrundlag – ingen tilskrivning endnu"))))</x:f>
      </x:c>
      <x:c r="AA104" s="60" t="str">
        <x:f>IF(C104="","",'Model &amp; indstillinger'!$B$6+SUMIFS($U$10:U104,$G$10:G104,"Single"))</x:f>
      </x:c>
      <x:c r="AB104" s="60" t="str">
        <x:f>IF(C104="","",'Model &amp; indstillinger'!$B$7+COUNTIFS($G$10:G104,"Single",$AK$10:AK104,1))</x:f>
      </x:c>
      <x:c r="AC104" s="60" t="str">
        <x:f>IF(C104="","",'Model &amp; indstillinger'!$B$8+SUMIFS($U$10:U104,$G$10:G104,"Double"))</x:f>
      </x:c>
      <x:c r="AD104" s="60" t="str">
        <x:f>IF(C104="","",'Model &amp; indstillinger'!$B$9+COUNTIFS($G$10:G104,"Double",$AK$10:AK104,1))</x:f>
      </x:c>
      <x:c r="AE104" s="60" t="str">
        <x:f>IF(C104="","",'Model &amp; indstillinger'!$B$10+SUMIFS($U$10:U104,$G$10:G104,"Mix"))</x:f>
      </x:c>
      <x:c r="AF104" s="60" t="str">
        <x:f>IF(C104="","",'Model &amp; indstillinger'!$B$11+COUNTIFS($G$10:G104,"Mix",$AK$10:AK104,1))</x:f>
      </x:c>
      <x:c r="AG104" s="60" t="str">
        <x:f>IF(C104="","",IF(C104=C103,AG103,AG103+1))</x:f>
      </x:c>
      <x:c r="AH104" s="60" t="str">
        <x:f>IF(C104="","",IF(AG104=AG103,AH103,AA103))</x:f>
      </x:c>
      <x:c r="AI104" s="60" t="str">
        <x:f>IF(C104="","",IF(AG104=AG103,AI103,AC103))</x:f>
      </x:c>
      <x:c r="AJ104" s="60" t="str">
        <x:f>IF(C104="","",IF(AG104=AG103,AJ103,AE103))</x:f>
      </x:c>
      <x:c r="AK104" s="60" t="n">
        <x:f>IF(OR(H104="Vundet",H104="Tabt"),1,0)</x:f>
        <x:v>0</x:v>
      </x:c>
      <x:c r="AL104" s="60" t="n"/>
      <x:c r="AM104" s="60" t="n">
        <x:f>MAX($AG$10:$AG$209)</x:f>
        <x:v>4</x:v>
      </x:c>
      <x:c r="AN104" s="60" t="str">
        <x:f>IF(C104="","",IF(AND(C105&lt;&gt;"",C105&lt;&gt;C104),1,0))</x:f>
      </x:c>
      <x:c r="AO104" s="60" t="n"/>
      <x:c r="AP104" s="60" t="n">
        <x:f>MAX($AG$10:$AG$209)</x:f>
        <x:v>4</x:v>
      </x:c>
      <x:c r="AQ104" t="str">
        <x:f>AG104</x:f>
      </x:c>
      <x:c r="AR104" t="n">
        <x:f>C104</x:f>
        <x:v>0</x:v>
      </x:c>
      <x:c r="AS104" t="n">
        <x:f>E104</x:f>
        <x:v>0</x:v>
      </x:c>
    </x:row>
    <x:row r="105">
      <x:c r="A105" s="60" t="str">
        <x:f>IF(C105="","",COUNTIF($C$10:C105,"&lt;&gt;"))</x:f>
      </x:c>
      <x:c r="B105" s="122" t="n"/>
      <x:c r="C105" s="87" t="n"/>
      <x:c r="D105" s="87" t="n"/>
      <x:c r="E105" s="87" t="n"/>
      <x:c r="F105" s="87" t="n"/>
      <x:c r="G105" s="87" t="n"/>
      <x:c r="H105" s="87" t="n"/>
      <x:c r="I105" s="87" t="n"/>
      <x:c r="J105" s="87" t="n"/>
      <x:c r="K105" s="87" t="n"/>
      <x:c r="L105" s="87" t="n"/>
      <x:c r="M105" s="87" t="n"/>
      <x:c r="N105" s="87" t="n"/>
      <x:c r="O105" s="62" t="str">
        <x:f>IF(G105="","",IF(G105="Single",AH105,IF(G105="Double",AI105,AJ105)))</x:f>
      </x:c>
      <x:c r="P105" s="62" t="str">
        <x:f>IF(OR(G105="",H105="Ikke spillet"),"",IF(G105="Single",O105,IF(J105="","",(O105+J105)/2)))</x:f>
      </x:c>
      <x:c r="Q105" s="62" t="str">
        <x:f>IF(OR(G105="",H105="Ikke spillet"),"",IF(G105="Single",L105,IF(OR(L105="",N105=""),"",(L105+N105)/2)))</x:f>
      </x:c>
      <x:c r="R105" s="62" t="str">
        <x:f>IF(OR(P105="",Q105=""),"",Q105-P105)</x:f>
      </x:c>
      <x:c r="S105" s="62" t="str">
        <x:f>IF(H105="Ikke spillet","",IF(R105="","",IF(ABS(R105)&lt;0.000001,"Lige (0)",VLOOKUP(ABS(R105),'BD Pointtabel'!$A$4:$G$15,2,TRUE))))</x:f>
      </x:c>
      <x:c r="T105" s="62" t="str">
        <x:f>IF(H105="Ikke spillet","Ikke spillet",IF(H105="Planlagt","Planlagt",IF(OR(H105="",P105="",Q105=""),"",IF(H105="Vundet",IF(R105&gt;0,"Uventet sejr","Ventet sejr"),IF(R105&gt;=0,"Ventet nederlag","Uventet nederlag")))))</x:f>
      </x:c>
      <x:c r="U105" s="62" t="str">
        <x:f>IF(OR(H105="Ikke spillet",H105="Planlagt"),"",IF(OR(G105="",H105="",P105="",Q105=""),"",IF(AND(F105="Ungdomsholdturnering",OR(G105="Double",G105="Mix"),H105="Tabt"),0,IF(H105="Vundet",IF(R105&gt;0,VLOOKUP(ABS(R105),'BD Pointtabel'!$A$4:$G$15,4,TRUE),VLOOKUP(ABS(R105),'BD Pointtabel'!$A$4:$G$15,7,TRUE)),IF(R105&gt;=0,VLOOKUP(ABS(R105),'BD Pointtabel'!$A$4:$G$15,6,TRUE),VLOOKUP(ABS(R105),'BD Pointtabel'!$A$4:$G$15,3,TRUE))))))</x:f>
      </x:c>
      <x:c r="V105" s="62" t="str">
        <x:f>IF(G105="","",SUMIFS($U$10:U105,$AG$10:AG105,AG105,$G$10:G105,G105))</x:f>
      </x:c>
      <x:c r="W105" s="62" t="str">
        <x:f>IF(C105="","",IF(AN105&lt;&gt;1,"",IF(G105="Single",AA105,IF(G105="Double",AC105,AE105))))</x:f>
      </x:c>
      <x:c r="X105" s="62" t="str">
        <x:f>IF(C105="","",IF(AN105&lt;&gt;1,"",ROUND(((AA105*AB105+AC105*AD105+AE105*AF105)/(AB105+AD105+AF105))+IF((MAX(AA105,AC105,AE105)-(AA105+AC105+AE105-MAX(AA105,AC105,AE105)-MIN(AA105,AC105,AE105)))&lt;'Model &amp; indstillinger'!$E$16,'Model &amp; indstillinger'!$E$18,'Model &amp; indstillinger'!$E$20)*(MAX(AA105,AC105,AE105)-((AA105*AB105+AC105*AD105+AE105*AF105)/(AB105+AD105+AF105))),0)))</x:f>
      </x:c>
      <x:c r="Y105" s="62" t="str">
        <x:f>IF(X105="","",'Model &amp; indstillinger'!$B$4-X105)</x:f>
      </x:c>
      <x:c r="Z105" s="62" t="str">
        <x:f>IF(C105="","",IF(H105="Planlagt","Planlagt – ingen point endnu",IF(H105="Ikke spillet","Ikke spillet – tæller ikke som kamp og giver ingen point",IF(AN105=1,"STÆVNE SLUT – samlet point tilskrives","Frosset pointgrundlag – ingen tilskrivning endnu"))))</x:f>
      </x:c>
      <x:c r="AA105" s="60" t="str">
        <x:f>IF(C105="","",'Model &amp; indstillinger'!$B$6+SUMIFS($U$10:U105,$G$10:G105,"Single"))</x:f>
      </x:c>
      <x:c r="AB105" s="60" t="str">
        <x:f>IF(C105="","",'Model &amp; indstillinger'!$B$7+COUNTIFS($G$10:G105,"Single",$AK$10:AK105,1))</x:f>
      </x:c>
      <x:c r="AC105" s="60" t="str">
        <x:f>IF(C105="","",'Model &amp; indstillinger'!$B$8+SUMIFS($U$10:U105,$G$10:G105,"Double"))</x:f>
      </x:c>
      <x:c r="AD105" s="60" t="str">
        <x:f>IF(C105="","",'Model &amp; indstillinger'!$B$9+COUNTIFS($G$10:G105,"Double",$AK$10:AK105,1))</x:f>
      </x:c>
      <x:c r="AE105" s="60" t="str">
        <x:f>IF(C105="","",'Model &amp; indstillinger'!$B$10+SUMIFS($U$10:U105,$G$10:G105,"Mix"))</x:f>
      </x:c>
      <x:c r="AF105" s="60" t="str">
        <x:f>IF(C105="","",'Model &amp; indstillinger'!$B$11+COUNTIFS($G$10:G105,"Mix",$AK$10:AK105,1))</x:f>
      </x:c>
      <x:c r="AG105" s="60" t="str">
        <x:f>IF(C105="","",IF(C105=C104,AG104,AG104+1))</x:f>
      </x:c>
      <x:c r="AH105" s="60" t="str">
        <x:f>IF(C105="","",IF(AG105=AG104,AH104,AA104))</x:f>
      </x:c>
      <x:c r="AI105" s="60" t="str">
        <x:f>IF(C105="","",IF(AG105=AG104,AI104,AC104))</x:f>
      </x:c>
      <x:c r="AJ105" s="60" t="str">
        <x:f>IF(C105="","",IF(AG105=AG104,AJ104,AE104))</x:f>
      </x:c>
      <x:c r="AK105" s="60" t="n">
        <x:f>IF(OR(H105="Vundet",H105="Tabt"),1,0)</x:f>
        <x:v>0</x:v>
      </x:c>
      <x:c r="AL105" s="60" t="n"/>
      <x:c r="AM105" s="60" t="n">
        <x:f>MAX($AG$10:$AG$209)</x:f>
        <x:v>4</x:v>
      </x:c>
      <x:c r="AN105" s="60" t="str">
        <x:f>IF(C105="","",IF(AND(C106&lt;&gt;"",C106&lt;&gt;C105),1,0))</x:f>
      </x:c>
      <x:c r="AO105" s="60" t="n"/>
      <x:c r="AP105" s="60" t="n">
        <x:f>MAX($AG$10:$AG$209)</x:f>
        <x:v>4</x:v>
      </x:c>
      <x:c r="AQ105" t="str">
        <x:f>AG105</x:f>
      </x:c>
      <x:c r="AR105" t="n">
        <x:f>C105</x:f>
        <x:v>0</x:v>
      </x:c>
      <x:c r="AS105" t="n">
        <x:f>E105</x:f>
        <x:v>0</x:v>
      </x:c>
    </x:row>
    <x:row r="106">
      <x:c r="A106" s="60" t="str">
        <x:f>IF(C106="","",COUNTIF($C$10:C106,"&lt;&gt;"))</x:f>
      </x:c>
      <x:c r="B106" s="122" t="n"/>
      <x:c r="C106" s="87" t="n"/>
      <x:c r="D106" s="87" t="n"/>
      <x:c r="E106" s="87" t="n"/>
      <x:c r="F106" s="87" t="n"/>
      <x:c r="G106" s="87" t="n"/>
      <x:c r="H106" s="87" t="n"/>
      <x:c r="I106" s="87" t="n"/>
      <x:c r="J106" s="87" t="n"/>
      <x:c r="K106" s="87" t="n"/>
      <x:c r="L106" s="87" t="n"/>
      <x:c r="M106" s="87" t="n"/>
      <x:c r="N106" s="87" t="n"/>
      <x:c r="O106" s="62" t="str">
        <x:f>IF(G106="","",IF(G106="Single",AH106,IF(G106="Double",AI106,AJ106)))</x:f>
      </x:c>
      <x:c r="P106" s="62" t="str">
        <x:f>IF(OR(G106="",H106="Ikke spillet"),"",IF(G106="Single",O106,IF(J106="","",(O106+J106)/2)))</x:f>
      </x:c>
      <x:c r="Q106" s="62" t="str">
        <x:f>IF(OR(G106="",H106="Ikke spillet"),"",IF(G106="Single",L106,IF(OR(L106="",N106=""),"",(L106+N106)/2)))</x:f>
      </x:c>
      <x:c r="R106" s="62" t="str">
        <x:f>IF(OR(P106="",Q106=""),"",Q106-P106)</x:f>
      </x:c>
      <x:c r="S106" s="62" t="str">
        <x:f>IF(H106="Ikke spillet","",IF(R106="","",IF(ABS(R106)&lt;0.000001,"Lige (0)",VLOOKUP(ABS(R106),'BD Pointtabel'!$A$4:$G$15,2,TRUE))))</x:f>
      </x:c>
      <x:c r="T106" s="62" t="str">
        <x:f>IF(H106="Ikke spillet","Ikke spillet",IF(H106="Planlagt","Planlagt",IF(OR(H106="",P106="",Q106=""),"",IF(H106="Vundet",IF(R106&gt;0,"Uventet sejr","Ventet sejr"),IF(R106&gt;=0,"Ventet nederlag","Uventet nederlag")))))</x:f>
      </x:c>
      <x:c r="U106" s="62" t="str">
        <x:f>IF(OR(H106="Ikke spillet",H106="Planlagt"),"",IF(OR(G106="",H106="",P106="",Q106=""),"",IF(AND(F106="Ungdomsholdturnering",OR(G106="Double",G106="Mix"),H106="Tabt"),0,IF(H106="Vundet",IF(R106&gt;0,VLOOKUP(ABS(R106),'BD Pointtabel'!$A$4:$G$15,4,TRUE),VLOOKUP(ABS(R106),'BD Pointtabel'!$A$4:$G$15,7,TRUE)),IF(R106&gt;=0,VLOOKUP(ABS(R106),'BD Pointtabel'!$A$4:$G$15,6,TRUE),VLOOKUP(ABS(R106),'BD Pointtabel'!$A$4:$G$15,3,TRUE))))))</x:f>
      </x:c>
      <x:c r="V106" s="62" t="str">
        <x:f>IF(G106="","",SUMIFS($U$10:U106,$AG$10:AG106,AG106,$G$10:G106,G106))</x:f>
      </x:c>
      <x:c r="W106" s="62" t="str">
        <x:f>IF(C106="","",IF(AN106&lt;&gt;1,"",IF(G106="Single",AA106,IF(G106="Double",AC106,AE106))))</x:f>
      </x:c>
      <x:c r="X106" s="62" t="str">
        <x:f>IF(C106="","",IF(AN106&lt;&gt;1,"",ROUND(((AA106*AB106+AC106*AD106+AE106*AF106)/(AB106+AD106+AF106))+IF((MAX(AA106,AC106,AE106)-(AA106+AC106+AE106-MAX(AA106,AC106,AE106)-MIN(AA106,AC106,AE106)))&lt;'Model &amp; indstillinger'!$E$16,'Model &amp; indstillinger'!$E$18,'Model &amp; indstillinger'!$E$20)*(MAX(AA106,AC106,AE106)-((AA106*AB106+AC106*AD106+AE106*AF106)/(AB106+AD106+AF106))),0)))</x:f>
      </x:c>
      <x:c r="Y106" s="62" t="str">
        <x:f>IF(X106="","",'Model &amp; indstillinger'!$B$4-X106)</x:f>
      </x:c>
      <x:c r="Z106" s="62" t="str">
        <x:f>IF(C106="","",IF(H106="Planlagt","Planlagt – ingen point endnu",IF(H106="Ikke spillet","Ikke spillet – tæller ikke som kamp og giver ingen point",IF(AN106=1,"STÆVNE SLUT – samlet point tilskrives","Frosset pointgrundlag – ingen tilskrivning endnu"))))</x:f>
      </x:c>
      <x:c r="AA106" s="60" t="str">
        <x:f>IF(C106="","",'Model &amp; indstillinger'!$B$6+SUMIFS($U$10:U106,$G$10:G106,"Single"))</x:f>
      </x:c>
      <x:c r="AB106" s="60" t="str">
        <x:f>IF(C106="","",'Model &amp; indstillinger'!$B$7+COUNTIFS($G$10:G106,"Single",$AK$10:AK106,1))</x:f>
      </x:c>
      <x:c r="AC106" s="60" t="str">
        <x:f>IF(C106="","",'Model &amp; indstillinger'!$B$8+SUMIFS($U$10:U106,$G$10:G106,"Double"))</x:f>
      </x:c>
      <x:c r="AD106" s="60" t="str">
        <x:f>IF(C106="","",'Model &amp; indstillinger'!$B$9+COUNTIFS($G$10:G106,"Double",$AK$10:AK106,1))</x:f>
      </x:c>
      <x:c r="AE106" s="60" t="str">
        <x:f>IF(C106="","",'Model &amp; indstillinger'!$B$10+SUMIFS($U$10:U106,$G$10:G106,"Mix"))</x:f>
      </x:c>
      <x:c r="AF106" s="60" t="str">
        <x:f>IF(C106="","",'Model &amp; indstillinger'!$B$11+COUNTIFS($G$10:G106,"Mix",$AK$10:AK106,1))</x:f>
      </x:c>
      <x:c r="AG106" s="60" t="str">
        <x:f>IF(C106="","",IF(C106=C105,AG105,AG105+1))</x:f>
      </x:c>
      <x:c r="AH106" s="60" t="str">
        <x:f>IF(C106="","",IF(AG106=AG105,AH105,AA105))</x:f>
      </x:c>
      <x:c r="AI106" s="60" t="str">
        <x:f>IF(C106="","",IF(AG106=AG105,AI105,AC105))</x:f>
      </x:c>
      <x:c r="AJ106" s="60" t="str">
        <x:f>IF(C106="","",IF(AG106=AG105,AJ105,AE105))</x:f>
      </x:c>
      <x:c r="AK106" s="60" t="n">
        <x:f>IF(OR(H106="Vundet",H106="Tabt"),1,0)</x:f>
        <x:v>0</x:v>
      </x:c>
      <x:c r="AL106" s="60" t="n"/>
      <x:c r="AM106" s="60" t="n">
        <x:f>MAX($AG$10:$AG$209)</x:f>
        <x:v>4</x:v>
      </x:c>
      <x:c r="AN106" s="60" t="str">
        <x:f>IF(C106="","",IF(AND(C107&lt;&gt;"",C107&lt;&gt;C106),1,0))</x:f>
      </x:c>
      <x:c r="AO106" s="60" t="n"/>
      <x:c r="AP106" s="60" t="n">
        <x:f>MAX($AG$10:$AG$209)</x:f>
        <x:v>4</x:v>
      </x:c>
      <x:c r="AQ106" t="str">
        <x:f>AG106</x:f>
      </x:c>
      <x:c r="AR106" t="n">
        <x:f>C106</x:f>
        <x:v>0</x:v>
      </x:c>
      <x:c r="AS106" t="n">
        <x:f>E106</x:f>
        <x:v>0</x:v>
      </x:c>
    </x:row>
    <x:row r="107">
      <x:c r="A107" s="60" t="str">
        <x:f>IF(C107="","",COUNTIF($C$10:C107,"&lt;&gt;"))</x:f>
      </x:c>
      <x:c r="B107" s="122" t="n"/>
      <x:c r="C107" s="87" t="n"/>
      <x:c r="D107" s="87" t="n"/>
      <x:c r="E107" s="87" t="n"/>
      <x:c r="F107" s="87" t="n"/>
      <x:c r="G107" s="87" t="n"/>
      <x:c r="H107" s="87" t="n"/>
      <x:c r="I107" s="87" t="n"/>
      <x:c r="J107" s="87" t="n"/>
      <x:c r="K107" s="87" t="n"/>
      <x:c r="L107" s="87" t="n"/>
      <x:c r="M107" s="87" t="n"/>
      <x:c r="N107" s="87" t="n"/>
      <x:c r="O107" s="62" t="str">
        <x:f>IF(G107="","",IF(G107="Single",AH107,IF(G107="Double",AI107,AJ107)))</x:f>
      </x:c>
      <x:c r="P107" s="62" t="str">
        <x:f>IF(OR(G107="",H107="Ikke spillet"),"",IF(G107="Single",O107,IF(J107="","",(O107+J107)/2)))</x:f>
      </x:c>
      <x:c r="Q107" s="62" t="str">
        <x:f>IF(OR(G107="",H107="Ikke spillet"),"",IF(G107="Single",L107,IF(OR(L107="",N107=""),"",(L107+N107)/2)))</x:f>
      </x:c>
      <x:c r="R107" s="62" t="str">
        <x:f>IF(OR(P107="",Q107=""),"",Q107-P107)</x:f>
      </x:c>
      <x:c r="S107" s="62" t="str">
        <x:f>IF(H107="Ikke spillet","",IF(R107="","",IF(ABS(R107)&lt;0.000001,"Lige (0)",VLOOKUP(ABS(R107),'BD Pointtabel'!$A$4:$G$15,2,TRUE))))</x:f>
      </x:c>
      <x:c r="T107" s="62" t="str">
        <x:f>IF(H107="Ikke spillet","Ikke spillet",IF(H107="Planlagt","Planlagt",IF(OR(H107="",P107="",Q107=""),"",IF(H107="Vundet",IF(R107&gt;0,"Uventet sejr","Ventet sejr"),IF(R107&gt;=0,"Ventet nederlag","Uventet nederlag")))))</x:f>
      </x:c>
      <x:c r="U107" s="62" t="str">
        <x:f>IF(OR(H107="Ikke spillet",H107="Planlagt"),"",IF(OR(G107="",H107="",P107="",Q107=""),"",IF(AND(F107="Ungdomsholdturnering",OR(G107="Double",G107="Mix"),H107="Tabt"),0,IF(H107="Vundet",IF(R107&gt;0,VLOOKUP(ABS(R107),'BD Pointtabel'!$A$4:$G$15,4,TRUE),VLOOKUP(ABS(R107),'BD Pointtabel'!$A$4:$G$15,7,TRUE)),IF(R107&gt;=0,VLOOKUP(ABS(R107),'BD Pointtabel'!$A$4:$G$15,6,TRUE),VLOOKUP(ABS(R107),'BD Pointtabel'!$A$4:$G$15,3,TRUE))))))</x:f>
      </x:c>
      <x:c r="V107" s="62" t="str">
        <x:f>IF(G107="","",SUMIFS($U$10:U107,$AG$10:AG107,AG107,$G$10:G107,G107))</x:f>
      </x:c>
      <x:c r="W107" s="62" t="str">
        <x:f>IF(C107="","",IF(AN107&lt;&gt;1,"",IF(G107="Single",AA107,IF(G107="Double",AC107,AE107))))</x:f>
      </x:c>
      <x:c r="X107" s="62" t="str">
        <x:f>IF(C107="","",IF(AN107&lt;&gt;1,"",ROUND(((AA107*AB107+AC107*AD107+AE107*AF107)/(AB107+AD107+AF107))+IF((MAX(AA107,AC107,AE107)-(AA107+AC107+AE107-MAX(AA107,AC107,AE107)-MIN(AA107,AC107,AE107)))&lt;'Model &amp; indstillinger'!$E$16,'Model &amp; indstillinger'!$E$18,'Model &amp; indstillinger'!$E$20)*(MAX(AA107,AC107,AE107)-((AA107*AB107+AC107*AD107+AE107*AF107)/(AB107+AD107+AF107))),0)))</x:f>
      </x:c>
      <x:c r="Y107" s="62" t="str">
        <x:f>IF(X107="","",'Model &amp; indstillinger'!$B$4-X107)</x:f>
      </x:c>
      <x:c r="Z107" s="62" t="str">
        <x:f>IF(C107="","",IF(H107="Planlagt","Planlagt – ingen point endnu",IF(H107="Ikke spillet","Ikke spillet – tæller ikke som kamp og giver ingen point",IF(AN107=1,"STÆVNE SLUT – samlet point tilskrives","Frosset pointgrundlag – ingen tilskrivning endnu"))))</x:f>
      </x:c>
      <x:c r="AA107" s="60" t="str">
        <x:f>IF(C107="","",'Model &amp; indstillinger'!$B$6+SUMIFS($U$10:U107,$G$10:G107,"Single"))</x:f>
      </x:c>
      <x:c r="AB107" s="60" t="str">
        <x:f>IF(C107="","",'Model &amp; indstillinger'!$B$7+COUNTIFS($G$10:G107,"Single",$AK$10:AK107,1))</x:f>
      </x:c>
      <x:c r="AC107" s="60" t="str">
        <x:f>IF(C107="","",'Model &amp; indstillinger'!$B$8+SUMIFS($U$10:U107,$G$10:G107,"Double"))</x:f>
      </x:c>
      <x:c r="AD107" s="60" t="str">
        <x:f>IF(C107="","",'Model &amp; indstillinger'!$B$9+COUNTIFS($G$10:G107,"Double",$AK$10:AK107,1))</x:f>
      </x:c>
      <x:c r="AE107" s="60" t="str">
        <x:f>IF(C107="","",'Model &amp; indstillinger'!$B$10+SUMIFS($U$10:U107,$G$10:G107,"Mix"))</x:f>
      </x:c>
      <x:c r="AF107" s="60" t="str">
        <x:f>IF(C107="","",'Model &amp; indstillinger'!$B$11+COUNTIFS($G$10:G107,"Mix",$AK$10:AK107,1))</x:f>
      </x:c>
      <x:c r="AG107" s="60" t="str">
        <x:f>IF(C107="","",IF(C107=C106,AG106,AG106+1))</x:f>
      </x:c>
      <x:c r="AH107" s="60" t="str">
        <x:f>IF(C107="","",IF(AG107=AG106,AH106,AA106))</x:f>
      </x:c>
      <x:c r="AI107" s="60" t="str">
        <x:f>IF(C107="","",IF(AG107=AG106,AI106,AC106))</x:f>
      </x:c>
      <x:c r="AJ107" s="60" t="str">
        <x:f>IF(C107="","",IF(AG107=AG106,AJ106,AE106))</x:f>
      </x:c>
      <x:c r="AK107" s="60" t="n">
        <x:f>IF(OR(H107="Vundet",H107="Tabt"),1,0)</x:f>
        <x:v>0</x:v>
      </x:c>
      <x:c r="AL107" s="60" t="n"/>
      <x:c r="AM107" s="60" t="n">
        <x:f>MAX($AG$10:$AG$209)</x:f>
        <x:v>4</x:v>
      </x:c>
      <x:c r="AN107" s="60" t="str">
        <x:f>IF(C107="","",IF(AND(C108&lt;&gt;"",C108&lt;&gt;C107),1,0))</x:f>
      </x:c>
      <x:c r="AO107" s="60" t="n"/>
      <x:c r="AP107" s="60" t="n">
        <x:f>MAX($AG$10:$AG$209)</x:f>
        <x:v>4</x:v>
      </x:c>
      <x:c r="AQ107" t="str">
        <x:f>AG107</x:f>
      </x:c>
      <x:c r="AR107" t="n">
        <x:f>C107</x:f>
        <x:v>0</x:v>
      </x:c>
      <x:c r="AS107" t="n">
        <x:f>E107</x:f>
        <x:v>0</x:v>
      </x:c>
    </x:row>
    <x:row r="108">
      <x:c r="A108" s="60" t="str">
        <x:f>IF(C108="","",COUNTIF($C$10:C108,"&lt;&gt;"))</x:f>
      </x:c>
      <x:c r="B108" s="122" t="n"/>
      <x:c r="C108" s="87" t="n"/>
      <x:c r="D108" s="87" t="n"/>
      <x:c r="E108" s="87" t="n"/>
      <x:c r="F108" s="87" t="n"/>
      <x:c r="G108" s="87" t="n"/>
      <x:c r="H108" s="87" t="n"/>
      <x:c r="I108" s="87" t="n"/>
      <x:c r="J108" s="87" t="n"/>
      <x:c r="K108" s="87" t="n"/>
      <x:c r="L108" s="87" t="n"/>
      <x:c r="M108" s="87" t="n"/>
      <x:c r="N108" s="87" t="n"/>
      <x:c r="O108" s="62" t="str">
        <x:f>IF(G108="","",IF(G108="Single",AH108,IF(G108="Double",AI108,AJ108)))</x:f>
      </x:c>
      <x:c r="P108" s="62" t="str">
        <x:f>IF(OR(G108="",H108="Ikke spillet"),"",IF(G108="Single",O108,IF(J108="","",(O108+J108)/2)))</x:f>
      </x:c>
      <x:c r="Q108" s="62" t="str">
        <x:f>IF(OR(G108="",H108="Ikke spillet"),"",IF(G108="Single",L108,IF(OR(L108="",N108=""),"",(L108+N108)/2)))</x:f>
      </x:c>
      <x:c r="R108" s="62" t="str">
        <x:f>IF(OR(P108="",Q108=""),"",Q108-P108)</x:f>
      </x:c>
      <x:c r="S108" s="62" t="str">
        <x:f>IF(H108="Ikke spillet","",IF(R108="","",IF(ABS(R108)&lt;0.000001,"Lige (0)",VLOOKUP(ABS(R108),'BD Pointtabel'!$A$4:$G$15,2,TRUE))))</x:f>
      </x:c>
      <x:c r="T108" s="62" t="str">
        <x:f>IF(H108="Ikke spillet","Ikke spillet",IF(H108="Planlagt","Planlagt",IF(OR(H108="",P108="",Q108=""),"",IF(H108="Vundet",IF(R108&gt;0,"Uventet sejr","Ventet sejr"),IF(R108&gt;=0,"Ventet nederlag","Uventet nederlag")))))</x:f>
      </x:c>
      <x:c r="U108" s="62" t="str">
        <x:f>IF(OR(H108="Ikke spillet",H108="Planlagt"),"",IF(OR(G108="",H108="",P108="",Q108=""),"",IF(AND(F108="Ungdomsholdturnering",OR(G108="Double",G108="Mix"),H108="Tabt"),0,IF(H108="Vundet",IF(R108&gt;0,VLOOKUP(ABS(R108),'BD Pointtabel'!$A$4:$G$15,4,TRUE),VLOOKUP(ABS(R108),'BD Pointtabel'!$A$4:$G$15,7,TRUE)),IF(R108&gt;=0,VLOOKUP(ABS(R108),'BD Pointtabel'!$A$4:$G$15,6,TRUE),VLOOKUP(ABS(R108),'BD Pointtabel'!$A$4:$G$15,3,TRUE))))))</x:f>
      </x:c>
      <x:c r="V108" s="62" t="str">
        <x:f>IF(G108="","",SUMIFS($U$10:U108,$AG$10:AG108,AG108,$G$10:G108,G108))</x:f>
      </x:c>
      <x:c r="W108" s="62" t="str">
        <x:f>IF(C108="","",IF(AN108&lt;&gt;1,"",IF(G108="Single",AA108,IF(G108="Double",AC108,AE108))))</x:f>
      </x:c>
      <x:c r="X108" s="62" t="str">
        <x:f>IF(C108="","",IF(AN108&lt;&gt;1,"",ROUND(((AA108*AB108+AC108*AD108+AE108*AF108)/(AB108+AD108+AF108))+IF((MAX(AA108,AC108,AE108)-(AA108+AC108+AE108-MAX(AA108,AC108,AE108)-MIN(AA108,AC108,AE108)))&lt;'Model &amp; indstillinger'!$E$16,'Model &amp; indstillinger'!$E$18,'Model &amp; indstillinger'!$E$20)*(MAX(AA108,AC108,AE108)-((AA108*AB108+AC108*AD108+AE108*AF108)/(AB108+AD108+AF108))),0)))</x:f>
      </x:c>
      <x:c r="Y108" s="62" t="str">
        <x:f>IF(X108="","",'Model &amp; indstillinger'!$B$4-X108)</x:f>
      </x:c>
      <x:c r="Z108" s="62" t="str">
        <x:f>IF(C108="","",IF(H108="Planlagt","Planlagt – ingen point endnu",IF(H108="Ikke spillet","Ikke spillet – tæller ikke som kamp og giver ingen point",IF(AN108=1,"STÆVNE SLUT – samlet point tilskrives","Frosset pointgrundlag – ingen tilskrivning endnu"))))</x:f>
      </x:c>
      <x:c r="AA108" s="60" t="str">
        <x:f>IF(C108="","",'Model &amp; indstillinger'!$B$6+SUMIFS($U$10:U108,$G$10:G108,"Single"))</x:f>
      </x:c>
      <x:c r="AB108" s="60" t="str">
        <x:f>IF(C108="","",'Model &amp; indstillinger'!$B$7+COUNTIFS($G$10:G108,"Single",$AK$10:AK108,1))</x:f>
      </x:c>
      <x:c r="AC108" s="60" t="str">
        <x:f>IF(C108="","",'Model &amp; indstillinger'!$B$8+SUMIFS($U$10:U108,$G$10:G108,"Double"))</x:f>
      </x:c>
      <x:c r="AD108" s="60" t="str">
        <x:f>IF(C108="","",'Model &amp; indstillinger'!$B$9+COUNTIFS($G$10:G108,"Double",$AK$10:AK108,1))</x:f>
      </x:c>
      <x:c r="AE108" s="60" t="str">
        <x:f>IF(C108="","",'Model &amp; indstillinger'!$B$10+SUMIFS($U$10:U108,$G$10:G108,"Mix"))</x:f>
      </x:c>
      <x:c r="AF108" s="60" t="str">
        <x:f>IF(C108="","",'Model &amp; indstillinger'!$B$11+COUNTIFS($G$10:G108,"Mix",$AK$10:AK108,1))</x:f>
      </x:c>
      <x:c r="AG108" s="60" t="str">
        <x:f>IF(C108="","",IF(C108=C107,AG107,AG107+1))</x:f>
      </x:c>
      <x:c r="AH108" s="60" t="str">
        <x:f>IF(C108="","",IF(AG108=AG107,AH107,AA107))</x:f>
      </x:c>
      <x:c r="AI108" s="60" t="str">
        <x:f>IF(C108="","",IF(AG108=AG107,AI107,AC107))</x:f>
      </x:c>
      <x:c r="AJ108" s="60" t="str">
        <x:f>IF(C108="","",IF(AG108=AG107,AJ107,AE107))</x:f>
      </x:c>
      <x:c r="AK108" s="60" t="n">
        <x:f>IF(OR(H108="Vundet",H108="Tabt"),1,0)</x:f>
        <x:v>0</x:v>
      </x:c>
      <x:c r="AL108" s="60" t="n"/>
      <x:c r="AM108" s="60" t="n">
        <x:f>MAX($AG$10:$AG$209)</x:f>
        <x:v>4</x:v>
      </x:c>
      <x:c r="AN108" s="60" t="str">
        <x:f>IF(C108="","",IF(AND(C109&lt;&gt;"",C109&lt;&gt;C108),1,0))</x:f>
      </x:c>
      <x:c r="AO108" s="60" t="n"/>
      <x:c r="AP108" s="60" t="n">
        <x:f>MAX($AG$10:$AG$209)</x:f>
        <x:v>4</x:v>
      </x:c>
      <x:c r="AQ108" t="str">
        <x:f>AG108</x:f>
      </x:c>
      <x:c r="AR108" t="n">
        <x:f>C108</x:f>
        <x:v>0</x:v>
      </x:c>
      <x:c r="AS108" t="n">
        <x:f>E108</x:f>
        <x:v>0</x:v>
      </x:c>
    </x:row>
    <x:row r="109">
      <x:c r="A109" s="60" t="str">
        <x:f>IF(C109="","",COUNTIF($C$10:C109,"&lt;&gt;"))</x:f>
      </x:c>
      <x:c r="B109" s="122" t="n"/>
      <x:c r="C109" s="87" t="n"/>
      <x:c r="D109" s="87" t="n"/>
      <x:c r="E109" s="87" t="n"/>
      <x:c r="F109" s="87" t="n"/>
      <x:c r="G109" s="87" t="n"/>
      <x:c r="H109" s="87" t="n"/>
      <x:c r="I109" s="87" t="n"/>
      <x:c r="J109" s="87" t="n"/>
      <x:c r="K109" s="87" t="n"/>
      <x:c r="L109" s="87" t="n"/>
      <x:c r="M109" s="87" t="n"/>
      <x:c r="N109" s="87" t="n"/>
      <x:c r="O109" s="62" t="str">
        <x:f>IF(G109="","",IF(G109="Single",AH109,IF(G109="Double",AI109,AJ109)))</x:f>
      </x:c>
      <x:c r="P109" s="62" t="str">
        <x:f>IF(OR(G109="",H109="Ikke spillet"),"",IF(G109="Single",O109,IF(J109="","",(O109+J109)/2)))</x:f>
      </x:c>
      <x:c r="Q109" s="62" t="str">
        <x:f>IF(OR(G109="",H109="Ikke spillet"),"",IF(G109="Single",L109,IF(OR(L109="",N109=""),"",(L109+N109)/2)))</x:f>
      </x:c>
      <x:c r="R109" s="62" t="str">
        <x:f>IF(OR(P109="",Q109=""),"",Q109-P109)</x:f>
      </x:c>
      <x:c r="S109" s="62" t="str">
        <x:f>IF(H109="Ikke spillet","",IF(R109="","",IF(ABS(R109)&lt;0.000001,"Lige (0)",VLOOKUP(ABS(R109),'BD Pointtabel'!$A$4:$G$15,2,TRUE))))</x:f>
      </x:c>
      <x:c r="T109" s="62" t="str">
        <x:f>IF(H109="Ikke spillet","Ikke spillet",IF(H109="Planlagt","Planlagt",IF(OR(H109="",P109="",Q109=""),"",IF(H109="Vundet",IF(R109&gt;0,"Uventet sejr","Ventet sejr"),IF(R109&gt;=0,"Ventet nederlag","Uventet nederlag")))))</x:f>
      </x:c>
      <x:c r="U109" s="62" t="str">
        <x:f>IF(OR(H109="Ikke spillet",H109="Planlagt"),"",IF(OR(G109="",H109="",P109="",Q109=""),"",IF(AND(F109="Ungdomsholdturnering",OR(G109="Double",G109="Mix"),H109="Tabt"),0,IF(H109="Vundet",IF(R109&gt;0,VLOOKUP(ABS(R109),'BD Pointtabel'!$A$4:$G$15,4,TRUE),VLOOKUP(ABS(R109),'BD Pointtabel'!$A$4:$G$15,7,TRUE)),IF(R109&gt;=0,VLOOKUP(ABS(R109),'BD Pointtabel'!$A$4:$G$15,6,TRUE),VLOOKUP(ABS(R109),'BD Pointtabel'!$A$4:$G$15,3,TRUE))))))</x:f>
      </x:c>
      <x:c r="V109" s="62" t="str">
        <x:f>IF(G109="","",SUMIFS($U$10:U109,$AG$10:AG109,AG109,$G$10:G109,G109))</x:f>
      </x:c>
      <x:c r="W109" s="62" t="str">
        <x:f>IF(C109="","",IF(AN109&lt;&gt;1,"",IF(G109="Single",AA109,IF(G109="Double",AC109,AE109))))</x:f>
      </x:c>
      <x:c r="X109" s="62" t="str">
        <x:f>IF(C109="","",IF(AN109&lt;&gt;1,"",ROUND(((AA109*AB109+AC109*AD109+AE109*AF109)/(AB109+AD109+AF109))+IF((MAX(AA109,AC109,AE109)-(AA109+AC109+AE109-MAX(AA109,AC109,AE109)-MIN(AA109,AC109,AE109)))&lt;'Model &amp; indstillinger'!$E$16,'Model &amp; indstillinger'!$E$18,'Model &amp; indstillinger'!$E$20)*(MAX(AA109,AC109,AE109)-((AA109*AB109+AC109*AD109+AE109*AF109)/(AB109+AD109+AF109))),0)))</x:f>
      </x:c>
      <x:c r="Y109" s="62" t="str">
        <x:f>IF(X109="","",'Model &amp; indstillinger'!$B$4-X109)</x:f>
      </x:c>
      <x:c r="Z109" s="62" t="str">
        <x:f>IF(C109="","",IF(H109="Planlagt","Planlagt – ingen point endnu",IF(H109="Ikke spillet","Ikke spillet – tæller ikke som kamp og giver ingen point",IF(AN109=1,"STÆVNE SLUT – samlet point tilskrives","Frosset pointgrundlag – ingen tilskrivning endnu"))))</x:f>
      </x:c>
      <x:c r="AA109" s="60" t="str">
        <x:f>IF(C109="","",'Model &amp; indstillinger'!$B$6+SUMIFS($U$10:U109,$G$10:G109,"Single"))</x:f>
      </x:c>
      <x:c r="AB109" s="60" t="str">
        <x:f>IF(C109="","",'Model &amp; indstillinger'!$B$7+COUNTIFS($G$10:G109,"Single",$AK$10:AK109,1))</x:f>
      </x:c>
      <x:c r="AC109" s="60" t="str">
        <x:f>IF(C109="","",'Model &amp; indstillinger'!$B$8+SUMIFS($U$10:U109,$G$10:G109,"Double"))</x:f>
      </x:c>
      <x:c r="AD109" s="60" t="str">
        <x:f>IF(C109="","",'Model &amp; indstillinger'!$B$9+COUNTIFS($G$10:G109,"Double",$AK$10:AK109,1))</x:f>
      </x:c>
      <x:c r="AE109" s="60" t="str">
        <x:f>IF(C109="","",'Model &amp; indstillinger'!$B$10+SUMIFS($U$10:U109,$G$10:G109,"Mix"))</x:f>
      </x:c>
      <x:c r="AF109" s="60" t="str">
        <x:f>IF(C109="","",'Model &amp; indstillinger'!$B$11+COUNTIFS($G$10:G109,"Mix",$AK$10:AK109,1))</x:f>
      </x:c>
      <x:c r="AG109" s="60" t="str">
        <x:f>IF(C109="","",IF(C109=C108,AG108,AG108+1))</x:f>
      </x:c>
      <x:c r="AH109" s="60" t="str">
        <x:f>IF(C109="","",IF(AG109=AG108,AH108,AA108))</x:f>
      </x:c>
      <x:c r="AI109" s="60" t="str">
        <x:f>IF(C109="","",IF(AG109=AG108,AI108,AC108))</x:f>
      </x:c>
      <x:c r="AJ109" s="60" t="str">
        <x:f>IF(C109="","",IF(AG109=AG108,AJ108,AE108))</x:f>
      </x:c>
      <x:c r="AK109" s="60" t="n">
        <x:f>IF(OR(H109="Vundet",H109="Tabt"),1,0)</x:f>
        <x:v>0</x:v>
      </x:c>
      <x:c r="AL109" s="60" t="n"/>
      <x:c r="AM109" s="60" t="n">
        <x:f>MAX($AG$10:$AG$209)</x:f>
        <x:v>4</x:v>
      </x:c>
      <x:c r="AN109" s="60" t="str">
        <x:f>IF(C109="","",IF(AND(C110&lt;&gt;"",C110&lt;&gt;C109),1,0))</x:f>
      </x:c>
      <x:c r="AO109" s="60" t="n"/>
      <x:c r="AP109" s="60" t="n">
        <x:f>MAX($AG$10:$AG$209)</x:f>
        <x:v>4</x:v>
      </x:c>
      <x:c r="AQ109" t="str">
        <x:f>AG109</x:f>
      </x:c>
      <x:c r="AR109" t="n">
        <x:f>C109</x:f>
        <x:v>0</x:v>
      </x:c>
      <x:c r="AS109" t="n">
        <x:f>E109</x:f>
        <x:v>0</x:v>
      </x:c>
    </x:row>
    <x:row r="110">
      <x:c r="A110" s="60" t="str">
        <x:f>IF(C110="","",COUNTIF($C$10:C110,"&lt;&gt;"))</x:f>
      </x:c>
      <x:c r="B110" s="122" t="n"/>
      <x:c r="C110" s="87" t="n"/>
      <x:c r="D110" s="87" t="n"/>
      <x:c r="E110" s="87" t="n"/>
      <x:c r="F110" s="87" t="n"/>
      <x:c r="G110" s="87" t="n"/>
      <x:c r="H110" s="87" t="n"/>
      <x:c r="I110" s="87" t="n"/>
      <x:c r="J110" s="87" t="n"/>
      <x:c r="K110" s="87" t="n"/>
      <x:c r="L110" s="87" t="n"/>
      <x:c r="M110" s="87" t="n"/>
      <x:c r="N110" s="87" t="n"/>
      <x:c r="O110" s="62" t="str">
        <x:f>IF(G110="","",IF(G110="Single",AH110,IF(G110="Double",AI110,AJ110)))</x:f>
      </x:c>
      <x:c r="P110" s="62" t="str">
        <x:f>IF(OR(G110="",H110="Ikke spillet"),"",IF(G110="Single",O110,IF(J110="","",(O110+J110)/2)))</x:f>
      </x:c>
      <x:c r="Q110" s="62" t="str">
        <x:f>IF(OR(G110="",H110="Ikke spillet"),"",IF(G110="Single",L110,IF(OR(L110="",N110=""),"",(L110+N110)/2)))</x:f>
      </x:c>
      <x:c r="R110" s="62" t="str">
        <x:f>IF(OR(P110="",Q110=""),"",Q110-P110)</x:f>
      </x:c>
      <x:c r="S110" s="62" t="str">
        <x:f>IF(H110="Ikke spillet","",IF(R110="","",IF(ABS(R110)&lt;0.000001,"Lige (0)",VLOOKUP(ABS(R110),'BD Pointtabel'!$A$4:$G$15,2,TRUE))))</x:f>
      </x:c>
      <x:c r="T110" s="62" t="str">
        <x:f>IF(H110="Ikke spillet","Ikke spillet",IF(H110="Planlagt","Planlagt",IF(OR(H110="",P110="",Q110=""),"",IF(H110="Vundet",IF(R110&gt;0,"Uventet sejr","Ventet sejr"),IF(R110&gt;=0,"Ventet nederlag","Uventet nederlag")))))</x:f>
      </x:c>
      <x:c r="U110" s="62" t="str">
        <x:f>IF(OR(H110="Ikke spillet",H110="Planlagt"),"",IF(OR(G110="",H110="",P110="",Q110=""),"",IF(AND(F110="Ungdomsholdturnering",OR(G110="Double",G110="Mix"),H110="Tabt"),0,IF(H110="Vundet",IF(R110&gt;0,VLOOKUP(ABS(R110),'BD Pointtabel'!$A$4:$G$15,4,TRUE),VLOOKUP(ABS(R110),'BD Pointtabel'!$A$4:$G$15,7,TRUE)),IF(R110&gt;=0,VLOOKUP(ABS(R110),'BD Pointtabel'!$A$4:$G$15,6,TRUE),VLOOKUP(ABS(R110),'BD Pointtabel'!$A$4:$G$15,3,TRUE))))))</x:f>
      </x:c>
      <x:c r="V110" s="62" t="str">
        <x:f>IF(G110="","",SUMIFS($U$10:U110,$AG$10:AG110,AG110,$G$10:G110,G110))</x:f>
      </x:c>
      <x:c r="W110" s="62" t="str">
        <x:f>IF(C110="","",IF(AN110&lt;&gt;1,"",IF(G110="Single",AA110,IF(G110="Double",AC110,AE110))))</x:f>
      </x:c>
      <x:c r="X110" s="62" t="str">
        <x:f>IF(C110="","",IF(AN110&lt;&gt;1,"",ROUND(((AA110*AB110+AC110*AD110+AE110*AF110)/(AB110+AD110+AF110))+IF((MAX(AA110,AC110,AE110)-(AA110+AC110+AE110-MAX(AA110,AC110,AE110)-MIN(AA110,AC110,AE110)))&lt;'Model &amp; indstillinger'!$E$16,'Model &amp; indstillinger'!$E$18,'Model &amp; indstillinger'!$E$20)*(MAX(AA110,AC110,AE110)-((AA110*AB110+AC110*AD110+AE110*AF110)/(AB110+AD110+AF110))),0)))</x:f>
      </x:c>
      <x:c r="Y110" s="62" t="str">
        <x:f>IF(X110="","",'Model &amp; indstillinger'!$B$4-X110)</x:f>
      </x:c>
      <x:c r="Z110" s="62" t="str">
        <x:f>IF(C110="","",IF(H110="Planlagt","Planlagt – ingen point endnu",IF(H110="Ikke spillet","Ikke spillet – tæller ikke som kamp og giver ingen point",IF(AN110=1,"STÆVNE SLUT – samlet point tilskrives","Frosset pointgrundlag – ingen tilskrivning endnu"))))</x:f>
      </x:c>
      <x:c r="AA110" s="60" t="str">
        <x:f>IF(C110="","",'Model &amp; indstillinger'!$B$6+SUMIFS($U$10:U110,$G$10:G110,"Single"))</x:f>
      </x:c>
      <x:c r="AB110" s="60" t="str">
        <x:f>IF(C110="","",'Model &amp; indstillinger'!$B$7+COUNTIFS($G$10:G110,"Single",$AK$10:AK110,1))</x:f>
      </x:c>
      <x:c r="AC110" s="60" t="str">
        <x:f>IF(C110="","",'Model &amp; indstillinger'!$B$8+SUMIFS($U$10:U110,$G$10:G110,"Double"))</x:f>
      </x:c>
      <x:c r="AD110" s="60" t="str">
        <x:f>IF(C110="","",'Model &amp; indstillinger'!$B$9+COUNTIFS($G$10:G110,"Double",$AK$10:AK110,1))</x:f>
      </x:c>
      <x:c r="AE110" s="60" t="str">
        <x:f>IF(C110="","",'Model &amp; indstillinger'!$B$10+SUMIFS($U$10:U110,$G$10:G110,"Mix"))</x:f>
      </x:c>
      <x:c r="AF110" s="60" t="str">
        <x:f>IF(C110="","",'Model &amp; indstillinger'!$B$11+COUNTIFS($G$10:G110,"Mix",$AK$10:AK110,1))</x:f>
      </x:c>
      <x:c r="AG110" s="60" t="str">
        <x:f>IF(C110="","",IF(C110=C109,AG109,AG109+1))</x:f>
      </x:c>
      <x:c r="AH110" s="60" t="str">
        <x:f>IF(C110="","",IF(AG110=AG109,AH109,AA109))</x:f>
      </x:c>
      <x:c r="AI110" s="60" t="str">
        <x:f>IF(C110="","",IF(AG110=AG109,AI109,AC109))</x:f>
      </x:c>
      <x:c r="AJ110" s="60" t="str">
        <x:f>IF(C110="","",IF(AG110=AG109,AJ109,AE109))</x:f>
      </x:c>
      <x:c r="AK110" s="60" t="n">
        <x:f>IF(OR(H110="Vundet",H110="Tabt"),1,0)</x:f>
        <x:v>0</x:v>
      </x:c>
      <x:c r="AL110" s="60" t="n"/>
      <x:c r="AM110" s="60" t="n">
        <x:f>MAX($AG$10:$AG$209)</x:f>
        <x:v>4</x:v>
      </x:c>
      <x:c r="AN110" s="60" t="str">
        <x:f>IF(C110="","",IF(AND(C111&lt;&gt;"",C111&lt;&gt;C110),1,0))</x:f>
      </x:c>
      <x:c r="AO110" s="60" t="n"/>
      <x:c r="AP110" s="60" t="n">
        <x:f>MAX($AG$10:$AG$209)</x:f>
        <x:v>4</x:v>
      </x:c>
      <x:c r="AQ110" t="str">
        <x:f>AG110</x:f>
      </x:c>
      <x:c r="AR110" t="n">
        <x:f>C110</x:f>
        <x:v>0</x:v>
      </x:c>
      <x:c r="AS110" t="n">
        <x:f>E110</x:f>
        <x:v>0</x:v>
      </x:c>
    </x:row>
    <x:row r="111">
      <x:c r="A111" s="60" t="str">
        <x:f>IF(C111="","",COUNTIF($C$10:C111,"&lt;&gt;"))</x:f>
      </x:c>
      <x:c r="B111" s="122" t="n"/>
      <x:c r="C111" s="87" t="n"/>
      <x:c r="D111" s="87" t="n"/>
      <x:c r="E111" s="87" t="n"/>
      <x:c r="F111" s="87" t="n"/>
      <x:c r="G111" s="87" t="n"/>
      <x:c r="H111" s="87" t="n"/>
      <x:c r="I111" s="87" t="n"/>
      <x:c r="J111" s="87" t="n"/>
      <x:c r="K111" s="87" t="n"/>
      <x:c r="L111" s="87" t="n"/>
      <x:c r="M111" s="87" t="n"/>
      <x:c r="N111" s="87" t="n"/>
      <x:c r="O111" s="62" t="str">
        <x:f>IF(G111="","",IF(G111="Single",AH111,IF(G111="Double",AI111,AJ111)))</x:f>
      </x:c>
      <x:c r="P111" s="62" t="str">
        <x:f>IF(OR(G111="",H111="Ikke spillet"),"",IF(G111="Single",O111,IF(J111="","",(O111+J111)/2)))</x:f>
      </x:c>
      <x:c r="Q111" s="62" t="str">
        <x:f>IF(OR(G111="",H111="Ikke spillet"),"",IF(G111="Single",L111,IF(OR(L111="",N111=""),"",(L111+N111)/2)))</x:f>
      </x:c>
      <x:c r="R111" s="62" t="str">
        <x:f>IF(OR(P111="",Q111=""),"",Q111-P111)</x:f>
      </x:c>
      <x:c r="S111" s="62" t="str">
        <x:f>IF(H111="Ikke spillet","",IF(R111="","",IF(ABS(R111)&lt;0.000001,"Lige (0)",VLOOKUP(ABS(R111),'BD Pointtabel'!$A$4:$G$15,2,TRUE))))</x:f>
      </x:c>
      <x:c r="T111" s="62" t="str">
        <x:f>IF(H111="Ikke spillet","Ikke spillet",IF(H111="Planlagt","Planlagt",IF(OR(H111="",P111="",Q111=""),"",IF(H111="Vundet",IF(R111&gt;0,"Uventet sejr","Ventet sejr"),IF(R111&gt;=0,"Ventet nederlag","Uventet nederlag")))))</x:f>
      </x:c>
      <x:c r="U111" s="62" t="str">
        <x:f>IF(OR(H111="Ikke spillet",H111="Planlagt"),"",IF(OR(G111="",H111="",P111="",Q111=""),"",IF(AND(F111="Ungdomsholdturnering",OR(G111="Double",G111="Mix"),H111="Tabt"),0,IF(H111="Vundet",IF(R111&gt;0,VLOOKUP(ABS(R111),'BD Pointtabel'!$A$4:$G$15,4,TRUE),VLOOKUP(ABS(R111),'BD Pointtabel'!$A$4:$G$15,7,TRUE)),IF(R111&gt;=0,VLOOKUP(ABS(R111),'BD Pointtabel'!$A$4:$G$15,6,TRUE),VLOOKUP(ABS(R111),'BD Pointtabel'!$A$4:$G$15,3,TRUE))))))</x:f>
      </x:c>
      <x:c r="V111" s="62" t="str">
        <x:f>IF(G111="","",SUMIFS($U$10:U111,$AG$10:AG111,AG111,$G$10:G111,G111))</x:f>
      </x:c>
      <x:c r="W111" s="62" t="str">
        <x:f>IF(C111="","",IF(AN111&lt;&gt;1,"",IF(G111="Single",AA111,IF(G111="Double",AC111,AE111))))</x:f>
      </x:c>
      <x:c r="X111" s="62" t="str">
        <x:f>IF(C111="","",IF(AN111&lt;&gt;1,"",ROUND(((AA111*AB111+AC111*AD111+AE111*AF111)/(AB111+AD111+AF111))+IF((MAX(AA111,AC111,AE111)-(AA111+AC111+AE111-MAX(AA111,AC111,AE111)-MIN(AA111,AC111,AE111)))&lt;'Model &amp; indstillinger'!$E$16,'Model &amp; indstillinger'!$E$18,'Model &amp; indstillinger'!$E$20)*(MAX(AA111,AC111,AE111)-((AA111*AB111+AC111*AD111+AE111*AF111)/(AB111+AD111+AF111))),0)))</x:f>
      </x:c>
      <x:c r="Y111" s="62" t="str">
        <x:f>IF(X111="","",'Model &amp; indstillinger'!$B$4-X111)</x:f>
      </x:c>
      <x:c r="Z111" s="62" t="str">
        <x:f>IF(C111="","",IF(H111="Planlagt","Planlagt – ingen point endnu",IF(H111="Ikke spillet","Ikke spillet – tæller ikke som kamp og giver ingen point",IF(AN111=1,"STÆVNE SLUT – samlet point tilskrives","Frosset pointgrundlag – ingen tilskrivning endnu"))))</x:f>
      </x:c>
      <x:c r="AA111" s="60" t="str">
        <x:f>IF(C111="","",'Model &amp; indstillinger'!$B$6+SUMIFS($U$10:U111,$G$10:G111,"Single"))</x:f>
      </x:c>
      <x:c r="AB111" s="60" t="str">
        <x:f>IF(C111="","",'Model &amp; indstillinger'!$B$7+COUNTIFS($G$10:G111,"Single",$AK$10:AK111,1))</x:f>
      </x:c>
      <x:c r="AC111" s="60" t="str">
        <x:f>IF(C111="","",'Model &amp; indstillinger'!$B$8+SUMIFS($U$10:U111,$G$10:G111,"Double"))</x:f>
      </x:c>
      <x:c r="AD111" s="60" t="str">
        <x:f>IF(C111="","",'Model &amp; indstillinger'!$B$9+COUNTIFS($G$10:G111,"Double",$AK$10:AK111,1))</x:f>
      </x:c>
      <x:c r="AE111" s="60" t="str">
        <x:f>IF(C111="","",'Model &amp; indstillinger'!$B$10+SUMIFS($U$10:U111,$G$10:G111,"Mix"))</x:f>
      </x:c>
      <x:c r="AF111" s="60" t="str">
        <x:f>IF(C111="","",'Model &amp; indstillinger'!$B$11+COUNTIFS($G$10:G111,"Mix",$AK$10:AK111,1))</x:f>
      </x:c>
      <x:c r="AG111" s="60" t="str">
        <x:f>IF(C111="","",IF(C111=C110,AG110,AG110+1))</x:f>
      </x:c>
      <x:c r="AH111" s="60" t="str">
        <x:f>IF(C111="","",IF(AG111=AG110,AH110,AA110))</x:f>
      </x:c>
      <x:c r="AI111" s="60" t="str">
        <x:f>IF(C111="","",IF(AG111=AG110,AI110,AC110))</x:f>
      </x:c>
      <x:c r="AJ111" s="60" t="str">
        <x:f>IF(C111="","",IF(AG111=AG110,AJ110,AE110))</x:f>
      </x:c>
      <x:c r="AK111" s="60" t="n">
        <x:f>IF(OR(H111="Vundet",H111="Tabt"),1,0)</x:f>
        <x:v>0</x:v>
      </x:c>
      <x:c r="AL111" s="60" t="n"/>
      <x:c r="AM111" s="60" t="n">
        <x:f>MAX($AG$10:$AG$209)</x:f>
        <x:v>4</x:v>
      </x:c>
      <x:c r="AN111" s="60" t="str">
        <x:f>IF(C111="","",IF(AND(C112&lt;&gt;"",C112&lt;&gt;C111),1,0))</x:f>
      </x:c>
      <x:c r="AO111" s="60" t="n"/>
      <x:c r="AP111" s="60" t="n">
        <x:f>MAX($AG$10:$AG$209)</x:f>
        <x:v>4</x:v>
      </x:c>
      <x:c r="AQ111" t="str">
        <x:f>AG111</x:f>
      </x:c>
      <x:c r="AR111" t="n">
        <x:f>C111</x:f>
        <x:v>0</x:v>
      </x:c>
      <x:c r="AS111" t="n">
        <x:f>E111</x:f>
        <x:v>0</x:v>
      </x:c>
    </x:row>
    <x:row r="112">
      <x:c r="A112" s="60" t="str">
        <x:f>IF(C112="","",COUNTIF($C$10:C112,"&lt;&gt;"))</x:f>
      </x:c>
      <x:c r="B112" s="122" t="n"/>
      <x:c r="C112" s="87" t="n"/>
      <x:c r="D112" s="87" t="n"/>
      <x:c r="E112" s="87" t="n"/>
      <x:c r="F112" s="87" t="n"/>
      <x:c r="G112" s="87" t="n"/>
      <x:c r="H112" s="87" t="n"/>
      <x:c r="I112" s="87" t="n"/>
      <x:c r="J112" s="87" t="n"/>
      <x:c r="K112" s="87" t="n"/>
      <x:c r="L112" s="87" t="n"/>
      <x:c r="M112" s="87" t="n"/>
      <x:c r="N112" s="87" t="n"/>
      <x:c r="O112" s="62" t="str">
        <x:f>IF(G112="","",IF(G112="Single",AH112,IF(G112="Double",AI112,AJ112)))</x:f>
      </x:c>
      <x:c r="P112" s="62" t="str">
        <x:f>IF(OR(G112="",H112="Ikke spillet"),"",IF(G112="Single",O112,IF(J112="","",(O112+J112)/2)))</x:f>
      </x:c>
      <x:c r="Q112" s="62" t="str">
        <x:f>IF(OR(G112="",H112="Ikke spillet"),"",IF(G112="Single",L112,IF(OR(L112="",N112=""),"",(L112+N112)/2)))</x:f>
      </x:c>
      <x:c r="R112" s="62" t="str">
        <x:f>IF(OR(P112="",Q112=""),"",Q112-P112)</x:f>
      </x:c>
      <x:c r="S112" s="62" t="str">
        <x:f>IF(H112="Ikke spillet","",IF(R112="","",IF(ABS(R112)&lt;0.000001,"Lige (0)",VLOOKUP(ABS(R112),'BD Pointtabel'!$A$4:$G$15,2,TRUE))))</x:f>
      </x:c>
      <x:c r="T112" s="62" t="str">
        <x:f>IF(H112="Ikke spillet","Ikke spillet",IF(H112="Planlagt","Planlagt",IF(OR(H112="",P112="",Q112=""),"",IF(H112="Vundet",IF(R112&gt;0,"Uventet sejr","Ventet sejr"),IF(R112&gt;=0,"Ventet nederlag","Uventet nederlag")))))</x:f>
      </x:c>
      <x:c r="U112" s="62" t="str">
        <x:f>IF(OR(H112="Ikke spillet",H112="Planlagt"),"",IF(OR(G112="",H112="",P112="",Q112=""),"",IF(AND(F112="Ungdomsholdturnering",OR(G112="Double",G112="Mix"),H112="Tabt"),0,IF(H112="Vundet",IF(R112&gt;0,VLOOKUP(ABS(R112),'BD Pointtabel'!$A$4:$G$15,4,TRUE),VLOOKUP(ABS(R112),'BD Pointtabel'!$A$4:$G$15,7,TRUE)),IF(R112&gt;=0,VLOOKUP(ABS(R112),'BD Pointtabel'!$A$4:$G$15,6,TRUE),VLOOKUP(ABS(R112),'BD Pointtabel'!$A$4:$G$15,3,TRUE))))))</x:f>
      </x:c>
      <x:c r="V112" s="62" t="str">
        <x:f>IF(G112="","",SUMIFS($U$10:U112,$AG$10:AG112,AG112,$G$10:G112,G112))</x:f>
      </x:c>
      <x:c r="W112" s="62" t="str">
        <x:f>IF(C112="","",IF(AN112&lt;&gt;1,"",IF(G112="Single",AA112,IF(G112="Double",AC112,AE112))))</x:f>
      </x:c>
      <x:c r="X112" s="62" t="str">
        <x:f>IF(C112="","",IF(AN112&lt;&gt;1,"",ROUND(((AA112*AB112+AC112*AD112+AE112*AF112)/(AB112+AD112+AF112))+IF((MAX(AA112,AC112,AE112)-(AA112+AC112+AE112-MAX(AA112,AC112,AE112)-MIN(AA112,AC112,AE112)))&lt;'Model &amp; indstillinger'!$E$16,'Model &amp; indstillinger'!$E$18,'Model &amp; indstillinger'!$E$20)*(MAX(AA112,AC112,AE112)-((AA112*AB112+AC112*AD112+AE112*AF112)/(AB112+AD112+AF112))),0)))</x:f>
      </x:c>
      <x:c r="Y112" s="62" t="str">
        <x:f>IF(X112="","",'Model &amp; indstillinger'!$B$4-X112)</x:f>
      </x:c>
      <x:c r="Z112" s="62" t="str">
        <x:f>IF(C112="","",IF(H112="Planlagt","Planlagt – ingen point endnu",IF(H112="Ikke spillet","Ikke spillet – tæller ikke som kamp og giver ingen point",IF(AN112=1,"STÆVNE SLUT – samlet point tilskrives","Frosset pointgrundlag – ingen tilskrivning endnu"))))</x:f>
      </x:c>
      <x:c r="AA112" s="60" t="str">
        <x:f>IF(C112="","",'Model &amp; indstillinger'!$B$6+SUMIFS($U$10:U112,$G$10:G112,"Single"))</x:f>
      </x:c>
      <x:c r="AB112" s="60" t="str">
        <x:f>IF(C112="","",'Model &amp; indstillinger'!$B$7+COUNTIFS($G$10:G112,"Single",$AK$10:AK112,1))</x:f>
      </x:c>
      <x:c r="AC112" s="60" t="str">
        <x:f>IF(C112="","",'Model &amp; indstillinger'!$B$8+SUMIFS($U$10:U112,$G$10:G112,"Double"))</x:f>
      </x:c>
      <x:c r="AD112" s="60" t="str">
        <x:f>IF(C112="","",'Model &amp; indstillinger'!$B$9+COUNTIFS($G$10:G112,"Double",$AK$10:AK112,1))</x:f>
      </x:c>
      <x:c r="AE112" s="60" t="str">
        <x:f>IF(C112="","",'Model &amp; indstillinger'!$B$10+SUMIFS($U$10:U112,$G$10:G112,"Mix"))</x:f>
      </x:c>
      <x:c r="AF112" s="60" t="str">
        <x:f>IF(C112="","",'Model &amp; indstillinger'!$B$11+COUNTIFS($G$10:G112,"Mix",$AK$10:AK112,1))</x:f>
      </x:c>
      <x:c r="AG112" s="60" t="str">
        <x:f>IF(C112="","",IF(C112=C111,AG111,AG111+1))</x:f>
      </x:c>
      <x:c r="AH112" s="60" t="str">
        <x:f>IF(C112="","",IF(AG112=AG111,AH111,AA111))</x:f>
      </x:c>
      <x:c r="AI112" s="60" t="str">
        <x:f>IF(C112="","",IF(AG112=AG111,AI111,AC111))</x:f>
      </x:c>
      <x:c r="AJ112" s="60" t="str">
        <x:f>IF(C112="","",IF(AG112=AG111,AJ111,AE111))</x:f>
      </x:c>
      <x:c r="AK112" s="60" t="n">
        <x:f>IF(OR(H112="Vundet",H112="Tabt"),1,0)</x:f>
        <x:v>0</x:v>
      </x:c>
      <x:c r="AL112" s="60" t="n"/>
      <x:c r="AM112" s="60" t="n">
        <x:f>MAX($AG$10:$AG$209)</x:f>
        <x:v>4</x:v>
      </x:c>
      <x:c r="AN112" s="60" t="str">
        <x:f>IF(C112="","",IF(AND(C113&lt;&gt;"",C113&lt;&gt;C112),1,0))</x:f>
      </x:c>
      <x:c r="AO112" s="60" t="n"/>
      <x:c r="AP112" s="60" t="n">
        <x:f>MAX($AG$10:$AG$209)</x:f>
        <x:v>4</x:v>
      </x:c>
      <x:c r="AQ112" t="str">
        <x:f>AG112</x:f>
      </x:c>
      <x:c r="AR112" t="n">
        <x:f>C112</x:f>
        <x:v>0</x:v>
      </x:c>
      <x:c r="AS112" t="n">
        <x:f>E112</x:f>
        <x:v>0</x:v>
      </x:c>
    </x:row>
    <x:row r="113">
      <x:c r="A113" s="60" t="str">
        <x:f>IF(C113="","",COUNTIF($C$10:C113,"&lt;&gt;"))</x:f>
      </x:c>
      <x:c r="B113" s="122" t="n"/>
      <x:c r="C113" s="87" t="n"/>
      <x:c r="D113" s="87" t="n"/>
      <x:c r="E113" s="87" t="n"/>
      <x:c r="F113" s="87" t="n"/>
      <x:c r="G113" s="87" t="n"/>
      <x:c r="H113" s="87" t="n"/>
      <x:c r="I113" s="87" t="n"/>
      <x:c r="J113" s="87" t="n"/>
      <x:c r="K113" s="87" t="n"/>
      <x:c r="L113" s="87" t="n"/>
      <x:c r="M113" s="87" t="n"/>
      <x:c r="N113" s="87" t="n"/>
      <x:c r="O113" s="62" t="str">
        <x:f>IF(G113="","",IF(G113="Single",AH113,IF(G113="Double",AI113,AJ113)))</x:f>
      </x:c>
      <x:c r="P113" s="62" t="str">
        <x:f>IF(OR(G113="",H113="Ikke spillet"),"",IF(G113="Single",O113,IF(J113="","",(O113+J113)/2)))</x:f>
      </x:c>
      <x:c r="Q113" s="62" t="str">
        <x:f>IF(OR(G113="",H113="Ikke spillet"),"",IF(G113="Single",L113,IF(OR(L113="",N113=""),"",(L113+N113)/2)))</x:f>
      </x:c>
      <x:c r="R113" s="62" t="str">
        <x:f>IF(OR(P113="",Q113=""),"",Q113-P113)</x:f>
      </x:c>
      <x:c r="S113" s="62" t="str">
        <x:f>IF(H113="Ikke spillet","",IF(R113="","",IF(ABS(R113)&lt;0.000001,"Lige (0)",VLOOKUP(ABS(R113),'BD Pointtabel'!$A$4:$G$15,2,TRUE))))</x:f>
      </x:c>
      <x:c r="T113" s="62" t="str">
        <x:f>IF(H113="Ikke spillet","Ikke spillet",IF(H113="Planlagt","Planlagt",IF(OR(H113="",P113="",Q113=""),"",IF(H113="Vundet",IF(R113&gt;0,"Uventet sejr","Ventet sejr"),IF(R113&gt;=0,"Ventet nederlag","Uventet nederlag")))))</x:f>
      </x:c>
      <x:c r="U113" s="62" t="str">
        <x:f>IF(OR(H113="Ikke spillet",H113="Planlagt"),"",IF(OR(G113="",H113="",P113="",Q113=""),"",IF(AND(F113="Ungdomsholdturnering",OR(G113="Double",G113="Mix"),H113="Tabt"),0,IF(H113="Vundet",IF(R113&gt;0,VLOOKUP(ABS(R113),'BD Pointtabel'!$A$4:$G$15,4,TRUE),VLOOKUP(ABS(R113),'BD Pointtabel'!$A$4:$G$15,7,TRUE)),IF(R113&gt;=0,VLOOKUP(ABS(R113),'BD Pointtabel'!$A$4:$G$15,6,TRUE),VLOOKUP(ABS(R113),'BD Pointtabel'!$A$4:$G$15,3,TRUE))))))</x:f>
      </x:c>
      <x:c r="V113" s="62" t="str">
        <x:f>IF(G113="","",SUMIFS($U$10:U113,$AG$10:AG113,AG113,$G$10:G113,G113))</x:f>
      </x:c>
      <x:c r="W113" s="62" t="str">
        <x:f>IF(C113="","",IF(AN113&lt;&gt;1,"",IF(G113="Single",AA113,IF(G113="Double",AC113,AE113))))</x:f>
      </x:c>
      <x:c r="X113" s="62" t="str">
        <x:f>IF(C113="","",IF(AN113&lt;&gt;1,"",ROUND(((AA113*AB113+AC113*AD113+AE113*AF113)/(AB113+AD113+AF113))+IF((MAX(AA113,AC113,AE113)-(AA113+AC113+AE113-MAX(AA113,AC113,AE113)-MIN(AA113,AC113,AE113)))&lt;'Model &amp; indstillinger'!$E$16,'Model &amp; indstillinger'!$E$18,'Model &amp; indstillinger'!$E$20)*(MAX(AA113,AC113,AE113)-((AA113*AB113+AC113*AD113+AE113*AF113)/(AB113+AD113+AF113))),0)))</x:f>
      </x:c>
      <x:c r="Y113" s="62" t="str">
        <x:f>IF(X113="","",'Model &amp; indstillinger'!$B$4-X113)</x:f>
      </x:c>
      <x:c r="Z113" s="62" t="str">
        <x:f>IF(C113="","",IF(H113="Planlagt","Planlagt – ingen point endnu",IF(H113="Ikke spillet","Ikke spillet – tæller ikke som kamp og giver ingen point",IF(AN113=1,"STÆVNE SLUT – samlet point tilskrives","Frosset pointgrundlag – ingen tilskrivning endnu"))))</x:f>
      </x:c>
      <x:c r="AA113" s="60" t="str">
        <x:f>IF(C113="","",'Model &amp; indstillinger'!$B$6+SUMIFS($U$10:U113,$G$10:G113,"Single"))</x:f>
      </x:c>
      <x:c r="AB113" s="60" t="str">
        <x:f>IF(C113="","",'Model &amp; indstillinger'!$B$7+COUNTIFS($G$10:G113,"Single",$AK$10:AK113,1))</x:f>
      </x:c>
      <x:c r="AC113" s="60" t="str">
        <x:f>IF(C113="","",'Model &amp; indstillinger'!$B$8+SUMIFS($U$10:U113,$G$10:G113,"Double"))</x:f>
      </x:c>
      <x:c r="AD113" s="60" t="str">
        <x:f>IF(C113="","",'Model &amp; indstillinger'!$B$9+COUNTIFS($G$10:G113,"Double",$AK$10:AK113,1))</x:f>
      </x:c>
      <x:c r="AE113" s="60" t="str">
        <x:f>IF(C113="","",'Model &amp; indstillinger'!$B$10+SUMIFS($U$10:U113,$G$10:G113,"Mix"))</x:f>
      </x:c>
      <x:c r="AF113" s="60" t="str">
        <x:f>IF(C113="","",'Model &amp; indstillinger'!$B$11+COUNTIFS($G$10:G113,"Mix",$AK$10:AK113,1))</x:f>
      </x:c>
      <x:c r="AG113" s="60" t="str">
        <x:f>IF(C113="","",IF(C113=C112,AG112,AG112+1))</x:f>
      </x:c>
      <x:c r="AH113" s="60" t="str">
        <x:f>IF(C113="","",IF(AG113=AG112,AH112,AA112))</x:f>
      </x:c>
      <x:c r="AI113" s="60" t="str">
        <x:f>IF(C113="","",IF(AG113=AG112,AI112,AC112))</x:f>
      </x:c>
      <x:c r="AJ113" s="60" t="str">
        <x:f>IF(C113="","",IF(AG113=AG112,AJ112,AE112))</x:f>
      </x:c>
      <x:c r="AK113" s="60" t="n">
        <x:f>IF(OR(H113="Vundet",H113="Tabt"),1,0)</x:f>
        <x:v>0</x:v>
      </x:c>
      <x:c r="AL113" s="60" t="n"/>
      <x:c r="AM113" s="60" t="n">
        <x:f>MAX($AG$10:$AG$209)</x:f>
        <x:v>4</x:v>
      </x:c>
      <x:c r="AN113" s="60" t="str">
        <x:f>IF(C113="","",IF(AND(C114&lt;&gt;"",C114&lt;&gt;C113),1,0))</x:f>
      </x:c>
      <x:c r="AO113" s="60" t="n"/>
      <x:c r="AP113" s="60" t="n">
        <x:f>MAX($AG$10:$AG$209)</x:f>
        <x:v>4</x:v>
      </x:c>
      <x:c r="AQ113" t="str">
        <x:f>AG113</x:f>
      </x:c>
      <x:c r="AR113" t="n">
        <x:f>C113</x:f>
        <x:v>0</x:v>
      </x:c>
      <x:c r="AS113" t="n">
        <x:f>E113</x:f>
        <x:v>0</x:v>
      </x:c>
    </x:row>
    <x:row r="114">
      <x:c r="A114" s="60" t="str">
        <x:f>IF(C114="","",COUNTIF($C$10:C114,"&lt;&gt;"))</x:f>
      </x:c>
      <x:c r="B114" s="122" t="n"/>
      <x:c r="C114" s="87" t="n"/>
      <x:c r="D114" s="87" t="n"/>
      <x:c r="E114" s="87" t="n"/>
      <x:c r="F114" s="87" t="n"/>
      <x:c r="G114" s="87" t="n"/>
      <x:c r="H114" s="87" t="n"/>
      <x:c r="I114" s="87" t="n"/>
      <x:c r="J114" s="87" t="n"/>
      <x:c r="K114" s="87" t="n"/>
      <x:c r="L114" s="87" t="n"/>
      <x:c r="M114" s="87" t="n"/>
      <x:c r="N114" s="87" t="n"/>
      <x:c r="O114" s="62" t="str">
        <x:f>IF(G114="","",IF(G114="Single",AH114,IF(G114="Double",AI114,AJ114)))</x:f>
      </x:c>
      <x:c r="P114" s="62" t="str">
        <x:f>IF(OR(G114="",H114="Ikke spillet"),"",IF(G114="Single",O114,IF(J114="","",(O114+J114)/2)))</x:f>
      </x:c>
      <x:c r="Q114" s="62" t="str">
        <x:f>IF(OR(G114="",H114="Ikke spillet"),"",IF(G114="Single",L114,IF(OR(L114="",N114=""),"",(L114+N114)/2)))</x:f>
      </x:c>
      <x:c r="R114" s="62" t="str">
        <x:f>IF(OR(P114="",Q114=""),"",Q114-P114)</x:f>
      </x:c>
      <x:c r="S114" s="62" t="str">
        <x:f>IF(H114="Ikke spillet","",IF(R114="","",IF(ABS(R114)&lt;0.000001,"Lige (0)",VLOOKUP(ABS(R114),'BD Pointtabel'!$A$4:$G$15,2,TRUE))))</x:f>
      </x:c>
      <x:c r="T114" s="62" t="str">
        <x:f>IF(H114="Ikke spillet","Ikke spillet",IF(H114="Planlagt","Planlagt",IF(OR(H114="",P114="",Q114=""),"",IF(H114="Vundet",IF(R114&gt;0,"Uventet sejr","Ventet sejr"),IF(R114&gt;=0,"Ventet nederlag","Uventet nederlag")))))</x:f>
      </x:c>
      <x:c r="U114" s="62" t="str">
        <x:f>IF(OR(H114="Ikke spillet",H114="Planlagt"),"",IF(OR(G114="",H114="",P114="",Q114=""),"",IF(AND(F114="Ungdomsholdturnering",OR(G114="Double",G114="Mix"),H114="Tabt"),0,IF(H114="Vundet",IF(R114&gt;0,VLOOKUP(ABS(R114),'BD Pointtabel'!$A$4:$G$15,4,TRUE),VLOOKUP(ABS(R114),'BD Pointtabel'!$A$4:$G$15,7,TRUE)),IF(R114&gt;=0,VLOOKUP(ABS(R114),'BD Pointtabel'!$A$4:$G$15,6,TRUE),VLOOKUP(ABS(R114),'BD Pointtabel'!$A$4:$G$15,3,TRUE))))))</x:f>
      </x:c>
      <x:c r="V114" s="62" t="str">
        <x:f>IF(G114="","",SUMIFS($U$10:U114,$AG$10:AG114,AG114,$G$10:G114,G114))</x:f>
      </x:c>
      <x:c r="W114" s="62" t="str">
        <x:f>IF(C114="","",IF(AN114&lt;&gt;1,"",IF(G114="Single",AA114,IF(G114="Double",AC114,AE114))))</x:f>
      </x:c>
      <x:c r="X114" s="62" t="str">
        <x:f>IF(C114="","",IF(AN114&lt;&gt;1,"",ROUND(((AA114*AB114+AC114*AD114+AE114*AF114)/(AB114+AD114+AF114))+IF((MAX(AA114,AC114,AE114)-(AA114+AC114+AE114-MAX(AA114,AC114,AE114)-MIN(AA114,AC114,AE114)))&lt;'Model &amp; indstillinger'!$E$16,'Model &amp; indstillinger'!$E$18,'Model &amp; indstillinger'!$E$20)*(MAX(AA114,AC114,AE114)-((AA114*AB114+AC114*AD114+AE114*AF114)/(AB114+AD114+AF114))),0)))</x:f>
      </x:c>
      <x:c r="Y114" s="62" t="str">
        <x:f>IF(X114="","",'Model &amp; indstillinger'!$B$4-X114)</x:f>
      </x:c>
      <x:c r="Z114" s="62" t="str">
        <x:f>IF(C114="","",IF(H114="Planlagt","Planlagt – ingen point endnu",IF(H114="Ikke spillet","Ikke spillet – tæller ikke som kamp og giver ingen point",IF(AN114=1,"STÆVNE SLUT – samlet point tilskrives","Frosset pointgrundlag – ingen tilskrivning endnu"))))</x:f>
      </x:c>
      <x:c r="AA114" s="60" t="str">
        <x:f>IF(C114="","",'Model &amp; indstillinger'!$B$6+SUMIFS($U$10:U114,$G$10:G114,"Single"))</x:f>
      </x:c>
      <x:c r="AB114" s="60" t="str">
        <x:f>IF(C114="","",'Model &amp; indstillinger'!$B$7+COUNTIFS($G$10:G114,"Single",$AK$10:AK114,1))</x:f>
      </x:c>
      <x:c r="AC114" s="60" t="str">
        <x:f>IF(C114="","",'Model &amp; indstillinger'!$B$8+SUMIFS($U$10:U114,$G$10:G114,"Double"))</x:f>
      </x:c>
      <x:c r="AD114" s="60" t="str">
        <x:f>IF(C114="","",'Model &amp; indstillinger'!$B$9+COUNTIFS($G$10:G114,"Double",$AK$10:AK114,1))</x:f>
      </x:c>
      <x:c r="AE114" s="60" t="str">
        <x:f>IF(C114="","",'Model &amp; indstillinger'!$B$10+SUMIFS($U$10:U114,$G$10:G114,"Mix"))</x:f>
      </x:c>
      <x:c r="AF114" s="60" t="str">
        <x:f>IF(C114="","",'Model &amp; indstillinger'!$B$11+COUNTIFS($G$10:G114,"Mix",$AK$10:AK114,1))</x:f>
      </x:c>
      <x:c r="AG114" s="60" t="str">
        <x:f>IF(C114="","",IF(C114=C113,AG113,AG113+1))</x:f>
      </x:c>
      <x:c r="AH114" s="60" t="str">
        <x:f>IF(C114="","",IF(AG114=AG113,AH113,AA113))</x:f>
      </x:c>
      <x:c r="AI114" s="60" t="str">
        <x:f>IF(C114="","",IF(AG114=AG113,AI113,AC113))</x:f>
      </x:c>
      <x:c r="AJ114" s="60" t="str">
        <x:f>IF(C114="","",IF(AG114=AG113,AJ113,AE113))</x:f>
      </x:c>
      <x:c r="AK114" s="60" t="n">
        <x:f>IF(OR(H114="Vundet",H114="Tabt"),1,0)</x:f>
        <x:v>0</x:v>
      </x:c>
      <x:c r="AL114" s="60" t="n"/>
      <x:c r="AM114" s="60" t="n">
        <x:f>MAX($AG$10:$AG$209)</x:f>
        <x:v>4</x:v>
      </x:c>
      <x:c r="AN114" s="60" t="str">
        <x:f>IF(C114="","",IF(AND(C115&lt;&gt;"",C115&lt;&gt;C114),1,0))</x:f>
      </x:c>
      <x:c r="AO114" s="60" t="n"/>
      <x:c r="AP114" s="60" t="n">
        <x:f>MAX($AG$10:$AG$209)</x:f>
        <x:v>4</x:v>
      </x:c>
      <x:c r="AQ114" t="str">
        <x:f>AG114</x:f>
      </x:c>
      <x:c r="AR114" t="n">
        <x:f>C114</x:f>
        <x:v>0</x:v>
      </x:c>
      <x:c r="AS114" t="n">
        <x:f>E114</x:f>
        <x:v>0</x:v>
      </x:c>
    </x:row>
    <x:row r="115">
      <x:c r="A115" s="60" t="str">
        <x:f>IF(C115="","",COUNTIF($C$10:C115,"&lt;&gt;"))</x:f>
      </x:c>
      <x:c r="B115" s="122" t="n"/>
      <x:c r="C115" s="87" t="n"/>
      <x:c r="D115" s="87" t="n"/>
      <x:c r="E115" s="87" t="n"/>
      <x:c r="F115" s="87" t="n"/>
      <x:c r="G115" s="87" t="n"/>
      <x:c r="H115" s="87" t="n"/>
      <x:c r="I115" s="87" t="n"/>
      <x:c r="J115" s="87" t="n"/>
      <x:c r="K115" s="87" t="n"/>
      <x:c r="L115" s="87" t="n"/>
      <x:c r="M115" s="87" t="n"/>
      <x:c r="N115" s="87" t="n"/>
      <x:c r="O115" s="62" t="str">
        <x:f>IF(G115="","",IF(G115="Single",AH115,IF(G115="Double",AI115,AJ115)))</x:f>
      </x:c>
      <x:c r="P115" s="62" t="str">
        <x:f>IF(OR(G115="",H115="Ikke spillet"),"",IF(G115="Single",O115,IF(J115="","",(O115+J115)/2)))</x:f>
      </x:c>
      <x:c r="Q115" s="62" t="str">
        <x:f>IF(OR(G115="",H115="Ikke spillet"),"",IF(G115="Single",L115,IF(OR(L115="",N115=""),"",(L115+N115)/2)))</x:f>
      </x:c>
      <x:c r="R115" s="62" t="str">
        <x:f>IF(OR(P115="",Q115=""),"",Q115-P115)</x:f>
      </x:c>
      <x:c r="S115" s="62" t="str">
        <x:f>IF(H115="Ikke spillet","",IF(R115="","",IF(ABS(R115)&lt;0.000001,"Lige (0)",VLOOKUP(ABS(R115),'BD Pointtabel'!$A$4:$G$15,2,TRUE))))</x:f>
      </x:c>
      <x:c r="T115" s="62" t="str">
        <x:f>IF(H115="Ikke spillet","Ikke spillet",IF(H115="Planlagt","Planlagt",IF(OR(H115="",P115="",Q115=""),"",IF(H115="Vundet",IF(R115&gt;0,"Uventet sejr","Ventet sejr"),IF(R115&gt;=0,"Ventet nederlag","Uventet nederlag")))))</x:f>
      </x:c>
      <x:c r="U115" s="62" t="str">
        <x:f>IF(OR(H115="Ikke spillet",H115="Planlagt"),"",IF(OR(G115="",H115="",P115="",Q115=""),"",IF(AND(F115="Ungdomsholdturnering",OR(G115="Double",G115="Mix"),H115="Tabt"),0,IF(H115="Vundet",IF(R115&gt;0,VLOOKUP(ABS(R115),'BD Pointtabel'!$A$4:$G$15,4,TRUE),VLOOKUP(ABS(R115),'BD Pointtabel'!$A$4:$G$15,7,TRUE)),IF(R115&gt;=0,VLOOKUP(ABS(R115),'BD Pointtabel'!$A$4:$G$15,6,TRUE),VLOOKUP(ABS(R115),'BD Pointtabel'!$A$4:$G$15,3,TRUE))))))</x:f>
      </x:c>
      <x:c r="V115" s="62" t="str">
        <x:f>IF(G115="","",SUMIFS($U$10:U115,$AG$10:AG115,AG115,$G$10:G115,G115))</x:f>
      </x:c>
      <x:c r="W115" s="62" t="str">
        <x:f>IF(C115="","",IF(AN115&lt;&gt;1,"",IF(G115="Single",AA115,IF(G115="Double",AC115,AE115))))</x:f>
      </x:c>
      <x:c r="X115" s="62" t="str">
        <x:f>IF(C115="","",IF(AN115&lt;&gt;1,"",ROUND(((AA115*AB115+AC115*AD115+AE115*AF115)/(AB115+AD115+AF115))+IF((MAX(AA115,AC115,AE115)-(AA115+AC115+AE115-MAX(AA115,AC115,AE115)-MIN(AA115,AC115,AE115)))&lt;'Model &amp; indstillinger'!$E$16,'Model &amp; indstillinger'!$E$18,'Model &amp; indstillinger'!$E$20)*(MAX(AA115,AC115,AE115)-((AA115*AB115+AC115*AD115+AE115*AF115)/(AB115+AD115+AF115))),0)))</x:f>
      </x:c>
      <x:c r="Y115" s="62" t="str">
        <x:f>IF(X115="","",'Model &amp; indstillinger'!$B$4-X115)</x:f>
      </x:c>
      <x:c r="Z115" s="62" t="str">
        <x:f>IF(C115="","",IF(H115="Planlagt","Planlagt – ingen point endnu",IF(H115="Ikke spillet","Ikke spillet – tæller ikke som kamp og giver ingen point",IF(AN115=1,"STÆVNE SLUT – samlet point tilskrives","Frosset pointgrundlag – ingen tilskrivning endnu"))))</x:f>
      </x:c>
      <x:c r="AA115" s="60" t="str">
        <x:f>IF(C115="","",'Model &amp; indstillinger'!$B$6+SUMIFS($U$10:U115,$G$10:G115,"Single"))</x:f>
      </x:c>
      <x:c r="AB115" s="60" t="str">
        <x:f>IF(C115="","",'Model &amp; indstillinger'!$B$7+COUNTIFS($G$10:G115,"Single",$AK$10:AK115,1))</x:f>
      </x:c>
      <x:c r="AC115" s="60" t="str">
        <x:f>IF(C115="","",'Model &amp; indstillinger'!$B$8+SUMIFS($U$10:U115,$G$10:G115,"Double"))</x:f>
      </x:c>
      <x:c r="AD115" s="60" t="str">
        <x:f>IF(C115="","",'Model &amp; indstillinger'!$B$9+COUNTIFS($G$10:G115,"Double",$AK$10:AK115,1))</x:f>
      </x:c>
      <x:c r="AE115" s="60" t="str">
        <x:f>IF(C115="","",'Model &amp; indstillinger'!$B$10+SUMIFS($U$10:U115,$G$10:G115,"Mix"))</x:f>
      </x:c>
      <x:c r="AF115" s="60" t="str">
        <x:f>IF(C115="","",'Model &amp; indstillinger'!$B$11+COUNTIFS($G$10:G115,"Mix",$AK$10:AK115,1))</x:f>
      </x:c>
      <x:c r="AG115" s="60" t="str">
        <x:f>IF(C115="","",IF(C115=C114,AG114,AG114+1))</x:f>
      </x:c>
      <x:c r="AH115" s="60" t="str">
        <x:f>IF(C115="","",IF(AG115=AG114,AH114,AA114))</x:f>
      </x:c>
      <x:c r="AI115" s="60" t="str">
        <x:f>IF(C115="","",IF(AG115=AG114,AI114,AC114))</x:f>
      </x:c>
      <x:c r="AJ115" s="60" t="str">
        <x:f>IF(C115="","",IF(AG115=AG114,AJ114,AE114))</x:f>
      </x:c>
      <x:c r="AK115" s="60" t="n">
        <x:f>IF(OR(H115="Vundet",H115="Tabt"),1,0)</x:f>
        <x:v>0</x:v>
      </x:c>
      <x:c r="AL115" s="60" t="n"/>
      <x:c r="AM115" s="60" t="n">
        <x:f>MAX($AG$10:$AG$209)</x:f>
        <x:v>4</x:v>
      </x:c>
      <x:c r="AN115" s="60" t="str">
        <x:f>IF(C115="","",IF(AND(C116&lt;&gt;"",C116&lt;&gt;C115),1,0))</x:f>
      </x:c>
      <x:c r="AO115" s="60" t="n"/>
      <x:c r="AP115" s="60" t="n">
        <x:f>MAX($AG$10:$AG$209)</x:f>
        <x:v>4</x:v>
      </x:c>
      <x:c r="AQ115" t="str">
        <x:f>AG115</x:f>
      </x:c>
      <x:c r="AR115" t="n">
        <x:f>C115</x:f>
        <x:v>0</x:v>
      </x:c>
      <x:c r="AS115" t="n">
        <x:f>E115</x:f>
        <x:v>0</x:v>
      </x:c>
    </x:row>
    <x:row r="116">
      <x:c r="A116" s="60" t="str">
        <x:f>IF(C116="","",COUNTIF($C$10:C116,"&lt;&gt;"))</x:f>
      </x:c>
      <x:c r="B116" s="122" t="n"/>
      <x:c r="C116" s="87" t="n"/>
      <x:c r="D116" s="87" t="n"/>
      <x:c r="E116" s="87" t="n"/>
      <x:c r="F116" s="87" t="n"/>
      <x:c r="G116" s="87" t="n"/>
      <x:c r="H116" s="87" t="n"/>
      <x:c r="I116" s="87" t="n"/>
      <x:c r="J116" s="87" t="n"/>
      <x:c r="K116" s="87" t="n"/>
      <x:c r="L116" s="87" t="n"/>
      <x:c r="M116" s="87" t="n"/>
      <x:c r="N116" s="87" t="n"/>
      <x:c r="O116" s="62" t="str">
        <x:f>IF(G116="","",IF(G116="Single",AH116,IF(G116="Double",AI116,AJ116)))</x:f>
      </x:c>
      <x:c r="P116" s="62" t="str">
        <x:f>IF(OR(G116="",H116="Ikke spillet"),"",IF(G116="Single",O116,IF(J116="","",(O116+J116)/2)))</x:f>
      </x:c>
      <x:c r="Q116" s="62" t="str">
        <x:f>IF(OR(G116="",H116="Ikke spillet"),"",IF(G116="Single",L116,IF(OR(L116="",N116=""),"",(L116+N116)/2)))</x:f>
      </x:c>
      <x:c r="R116" s="62" t="str">
        <x:f>IF(OR(P116="",Q116=""),"",Q116-P116)</x:f>
      </x:c>
      <x:c r="S116" s="62" t="str">
        <x:f>IF(H116="Ikke spillet","",IF(R116="","",IF(ABS(R116)&lt;0.000001,"Lige (0)",VLOOKUP(ABS(R116),'BD Pointtabel'!$A$4:$G$15,2,TRUE))))</x:f>
      </x:c>
      <x:c r="T116" s="62" t="str">
        <x:f>IF(H116="Ikke spillet","Ikke spillet",IF(H116="Planlagt","Planlagt",IF(OR(H116="",P116="",Q116=""),"",IF(H116="Vundet",IF(R116&gt;0,"Uventet sejr","Ventet sejr"),IF(R116&gt;=0,"Ventet nederlag","Uventet nederlag")))))</x:f>
      </x:c>
      <x:c r="U116" s="62" t="str">
        <x:f>IF(OR(H116="Ikke spillet",H116="Planlagt"),"",IF(OR(G116="",H116="",P116="",Q116=""),"",IF(AND(F116="Ungdomsholdturnering",OR(G116="Double",G116="Mix"),H116="Tabt"),0,IF(H116="Vundet",IF(R116&gt;0,VLOOKUP(ABS(R116),'BD Pointtabel'!$A$4:$G$15,4,TRUE),VLOOKUP(ABS(R116),'BD Pointtabel'!$A$4:$G$15,7,TRUE)),IF(R116&gt;=0,VLOOKUP(ABS(R116),'BD Pointtabel'!$A$4:$G$15,6,TRUE),VLOOKUP(ABS(R116),'BD Pointtabel'!$A$4:$G$15,3,TRUE))))))</x:f>
      </x:c>
      <x:c r="V116" s="62" t="str">
        <x:f>IF(G116="","",SUMIFS($U$10:U116,$AG$10:AG116,AG116,$G$10:G116,G116))</x:f>
      </x:c>
      <x:c r="W116" s="62" t="str">
        <x:f>IF(C116="","",IF(AN116&lt;&gt;1,"",IF(G116="Single",AA116,IF(G116="Double",AC116,AE116))))</x:f>
      </x:c>
      <x:c r="X116" s="62" t="str">
        <x:f>IF(C116="","",IF(AN116&lt;&gt;1,"",ROUND(((AA116*AB116+AC116*AD116+AE116*AF116)/(AB116+AD116+AF116))+IF((MAX(AA116,AC116,AE116)-(AA116+AC116+AE116-MAX(AA116,AC116,AE116)-MIN(AA116,AC116,AE116)))&lt;'Model &amp; indstillinger'!$E$16,'Model &amp; indstillinger'!$E$18,'Model &amp; indstillinger'!$E$20)*(MAX(AA116,AC116,AE116)-((AA116*AB116+AC116*AD116+AE116*AF116)/(AB116+AD116+AF116))),0)))</x:f>
      </x:c>
      <x:c r="Y116" s="62" t="str">
        <x:f>IF(X116="","",'Model &amp; indstillinger'!$B$4-X116)</x:f>
      </x:c>
      <x:c r="Z116" s="62" t="str">
        <x:f>IF(C116="","",IF(H116="Planlagt","Planlagt – ingen point endnu",IF(H116="Ikke spillet","Ikke spillet – tæller ikke som kamp og giver ingen point",IF(AN116=1,"STÆVNE SLUT – samlet point tilskrives","Frosset pointgrundlag – ingen tilskrivning endnu"))))</x:f>
      </x:c>
      <x:c r="AA116" s="60" t="str">
        <x:f>IF(C116="","",'Model &amp; indstillinger'!$B$6+SUMIFS($U$10:U116,$G$10:G116,"Single"))</x:f>
      </x:c>
      <x:c r="AB116" s="60" t="str">
        <x:f>IF(C116="","",'Model &amp; indstillinger'!$B$7+COUNTIFS($G$10:G116,"Single",$AK$10:AK116,1))</x:f>
      </x:c>
      <x:c r="AC116" s="60" t="str">
        <x:f>IF(C116="","",'Model &amp; indstillinger'!$B$8+SUMIFS($U$10:U116,$G$10:G116,"Double"))</x:f>
      </x:c>
      <x:c r="AD116" s="60" t="str">
        <x:f>IF(C116="","",'Model &amp; indstillinger'!$B$9+COUNTIFS($G$10:G116,"Double",$AK$10:AK116,1))</x:f>
      </x:c>
      <x:c r="AE116" s="60" t="str">
        <x:f>IF(C116="","",'Model &amp; indstillinger'!$B$10+SUMIFS($U$10:U116,$G$10:G116,"Mix"))</x:f>
      </x:c>
      <x:c r="AF116" s="60" t="str">
        <x:f>IF(C116="","",'Model &amp; indstillinger'!$B$11+COUNTIFS($G$10:G116,"Mix",$AK$10:AK116,1))</x:f>
      </x:c>
      <x:c r="AG116" s="60" t="str">
        <x:f>IF(C116="","",IF(C116=C115,AG115,AG115+1))</x:f>
      </x:c>
      <x:c r="AH116" s="60" t="str">
        <x:f>IF(C116="","",IF(AG116=AG115,AH115,AA115))</x:f>
      </x:c>
      <x:c r="AI116" s="60" t="str">
        <x:f>IF(C116="","",IF(AG116=AG115,AI115,AC115))</x:f>
      </x:c>
      <x:c r="AJ116" s="60" t="str">
        <x:f>IF(C116="","",IF(AG116=AG115,AJ115,AE115))</x:f>
      </x:c>
      <x:c r="AK116" s="60" t="n">
        <x:f>IF(OR(H116="Vundet",H116="Tabt"),1,0)</x:f>
        <x:v>0</x:v>
      </x:c>
      <x:c r="AL116" s="60" t="n"/>
      <x:c r="AM116" s="60" t="n">
        <x:f>MAX($AG$10:$AG$209)</x:f>
        <x:v>4</x:v>
      </x:c>
      <x:c r="AN116" s="60" t="str">
        <x:f>IF(C116="","",IF(AND(C117&lt;&gt;"",C117&lt;&gt;C116),1,0))</x:f>
      </x:c>
      <x:c r="AO116" s="60" t="n"/>
      <x:c r="AP116" s="60" t="n">
        <x:f>MAX($AG$10:$AG$209)</x:f>
        <x:v>4</x:v>
      </x:c>
      <x:c r="AQ116" t="str">
        <x:f>AG116</x:f>
      </x:c>
      <x:c r="AR116" t="n">
        <x:f>C116</x:f>
        <x:v>0</x:v>
      </x:c>
      <x:c r="AS116" t="n">
        <x:f>E116</x:f>
        <x:v>0</x:v>
      </x:c>
    </x:row>
    <x:row r="117">
      <x:c r="A117" s="60" t="str">
        <x:f>IF(C117="","",COUNTIF($C$10:C117,"&lt;&gt;"))</x:f>
      </x:c>
      <x:c r="B117" s="122" t="n"/>
      <x:c r="C117" s="87" t="n"/>
      <x:c r="D117" s="87" t="n"/>
      <x:c r="E117" s="87" t="n"/>
      <x:c r="F117" s="87" t="n"/>
      <x:c r="G117" s="87" t="n"/>
      <x:c r="H117" s="87" t="n"/>
      <x:c r="I117" s="87" t="n"/>
      <x:c r="J117" s="87" t="n"/>
      <x:c r="K117" s="87" t="n"/>
      <x:c r="L117" s="87" t="n"/>
      <x:c r="M117" s="87" t="n"/>
      <x:c r="N117" s="87" t="n"/>
      <x:c r="O117" s="62" t="str">
        <x:f>IF(G117="","",IF(G117="Single",AH117,IF(G117="Double",AI117,AJ117)))</x:f>
      </x:c>
      <x:c r="P117" s="62" t="str">
        <x:f>IF(OR(G117="",H117="Ikke spillet"),"",IF(G117="Single",O117,IF(J117="","",(O117+J117)/2)))</x:f>
      </x:c>
      <x:c r="Q117" s="62" t="str">
        <x:f>IF(OR(G117="",H117="Ikke spillet"),"",IF(G117="Single",L117,IF(OR(L117="",N117=""),"",(L117+N117)/2)))</x:f>
      </x:c>
      <x:c r="R117" s="62" t="str">
        <x:f>IF(OR(P117="",Q117=""),"",Q117-P117)</x:f>
      </x:c>
      <x:c r="S117" s="62" t="str">
        <x:f>IF(H117="Ikke spillet","",IF(R117="","",IF(ABS(R117)&lt;0.000001,"Lige (0)",VLOOKUP(ABS(R117),'BD Pointtabel'!$A$4:$G$15,2,TRUE))))</x:f>
      </x:c>
      <x:c r="T117" s="62" t="str">
        <x:f>IF(H117="Ikke spillet","Ikke spillet",IF(H117="Planlagt","Planlagt",IF(OR(H117="",P117="",Q117=""),"",IF(H117="Vundet",IF(R117&gt;0,"Uventet sejr","Ventet sejr"),IF(R117&gt;=0,"Ventet nederlag","Uventet nederlag")))))</x:f>
      </x:c>
      <x:c r="U117" s="62" t="str">
        <x:f>IF(OR(H117="Ikke spillet",H117="Planlagt"),"",IF(OR(G117="",H117="",P117="",Q117=""),"",IF(AND(F117="Ungdomsholdturnering",OR(G117="Double",G117="Mix"),H117="Tabt"),0,IF(H117="Vundet",IF(R117&gt;0,VLOOKUP(ABS(R117),'BD Pointtabel'!$A$4:$G$15,4,TRUE),VLOOKUP(ABS(R117),'BD Pointtabel'!$A$4:$G$15,7,TRUE)),IF(R117&gt;=0,VLOOKUP(ABS(R117),'BD Pointtabel'!$A$4:$G$15,6,TRUE),VLOOKUP(ABS(R117),'BD Pointtabel'!$A$4:$G$15,3,TRUE))))))</x:f>
      </x:c>
      <x:c r="V117" s="62" t="str">
        <x:f>IF(G117="","",SUMIFS($U$10:U117,$AG$10:AG117,AG117,$G$10:G117,G117))</x:f>
      </x:c>
      <x:c r="W117" s="62" t="str">
        <x:f>IF(C117="","",IF(AN117&lt;&gt;1,"",IF(G117="Single",AA117,IF(G117="Double",AC117,AE117))))</x:f>
      </x:c>
      <x:c r="X117" s="62" t="str">
        <x:f>IF(C117="","",IF(AN117&lt;&gt;1,"",ROUND(((AA117*AB117+AC117*AD117+AE117*AF117)/(AB117+AD117+AF117))+IF((MAX(AA117,AC117,AE117)-(AA117+AC117+AE117-MAX(AA117,AC117,AE117)-MIN(AA117,AC117,AE117)))&lt;'Model &amp; indstillinger'!$E$16,'Model &amp; indstillinger'!$E$18,'Model &amp; indstillinger'!$E$20)*(MAX(AA117,AC117,AE117)-((AA117*AB117+AC117*AD117+AE117*AF117)/(AB117+AD117+AF117))),0)))</x:f>
      </x:c>
      <x:c r="Y117" s="62" t="str">
        <x:f>IF(X117="","",'Model &amp; indstillinger'!$B$4-X117)</x:f>
      </x:c>
      <x:c r="Z117" s="62" t="str">
        <x:f>IF(C117="","",IF(H117="Planlagt","Planlagt – ingen point endnu",IF(H117="Ikke spillet","Ikke spillet – tæller ikke som kamp og giver ingen point",IF(AN117=1,"STÆVNE SLUT – samlet point tilskrives","Frosset pointgrundlag – ingen tilskrivning endnu"))))</x:f>
      </x:c>
      <x:c r="AA117" s="60" t="str">
        <x:f>IF(C117="","",'Model &amp; indstillinger'!$B$6+SUMIFS($U$10:U117,$G$10:G117,"Single"))</x:f>
      </x:c>
      <x:c r="AB117" s="60" t="str">
        <x:f>IF(C117="","",'Model &amp; indstillinger'!$B$7+COUNTIFS($G$10:G117,"Single",$AK$10:AK117,1))</x:f>
      </x:c>
      <x:c r="AC117" s="60" t="str">
        <x:f>IF(C117="","",'Model &amp; indstillinger'!$B$8+SUMIFS($U$10:U117,$G$10:G117,"Double"))</x:f>
      </x:c>
      <x:c r="AD117" s="60" t="str">
        <x:f>IF(C117="","",'Model &amp; indstillinger'!$B$9+COUNTIFS($G$10:G117,"Double",$AK$10:AK117,1))</x:f>
      </x:c>
      <x:c r="AE117" s="60" t="str">
        <x:f>IF(C117="","",'Model &amp; indstillinger'!$B$10+SUMIFS($U$10:U117,$G$10:G117,"Mix"))</x:f>
      </x:c>
      <x:c r="AF117" s="60" t="str">
        <x:f>IF(C117="","",'Model &amp; indstillinger'!$B$11+COUNTIFS($G$10:G117,"Mix",$AK$10:AK117,1))</x:f>
      </x:c>
      <x:c r="AG117" s="60" t="str">
        <x:f>IF(C117="","",IF(C117=C116,AG116,AG116+1))</x:f>
      </x:c>
      <x:c r="AH117" s="60" t="str">
        <x:f>IF(C117="","",IF(AG117=AG116,AH116,AA116))</x:f>
      </x:c>
      <x:c r="AI117" s="60" t="str">
        <x:f>IF(C117="","",IF(AG117=AG116,AI116,AC116))</x:f>
      </x:c>
      <x:c r="AJ117" s="60" t="str">
        <x:f>IF(C117="","",IF(AG117=AG116,AJ116,AE116))</x:f>
      </x:c>
      <x:c r="AK117" s="60" t="n">
        <x:f>IF(OR(H117="Vundet",H117="Tabt"),1,0)</x:f>
        <x:v>0</x:v>
      </x:c>
      <x:c r="AL117" s="60" t="n"/>
      <x:c r="AM117" s="60" t="n">
        <x:f>MAX($AG$10:$AG$209)</x:f>
        <x:v>4</x:v>
      </x:c>
      <x:c r="AN117" s="60" t="str">
        <x:f>IF(C117="","",IF(AND(C118&lt;&gt;"",C118&lt;&gt;C117),1,0))</x:f>
      </x:c>
      <x:c r="AO117" s="60" t="n"/>
      <x:c r="AP117" s="60" t="n">
        <x:f>MAX($AG$10:$AG$209)</x:f>
        <x:v>4</x:v>
      </x:c>
      <x:c r="AQ117" t="str">
        <x:f>AG117</x:f>
      </x:c>
      <x:c r="AR117" t="n">
        <x:f>C117</x:f>
        <x:v>0</x:v>
      </x:c>
      <x:c r="AS117" t="n">
        <x:f>E117</x:f>
        <x:v>0</x:v>
      </x:c>
    </x:row>
    <x:row r="118">
      <x:c r="A118" s="60" t="str">
        <x:f>IF(C118="","",COUNTIF($C$10:C118,"&lt;&gt;"))</x:f>
      </x:c>
      <x:c r="B118" s="122" t="n"/>
      <x:c r="C118" s="87" t="n"/>
      <x:c r="D118" s="87" t="n"/>
      <x:c r="E118" s="87" t="n"/>
      <x:c r="F118" s="87" t="n"/>
      <x:c r="G118" s="87" t="n"/>
      <x:c r="H118" s="87" t="n"/>
      <x:c r="I118" s="87" t="n"/>
      <x:c r="J118" s="87" t="n"/>
      <x:c r="K118" s="87" t="n"/>
      <x:c r="L118" s="87" t="n"/>
      <x:c r="M118" s="87" t="n"/>
      <x:c r="N118" s="87" t="n"/>
      <x:c r="O118" s="62" t="str">
        <x:f>IF(G118="","",IF(G118="Single",AH118,IF(G118="Double",AI118,AJ118)))</x:f>
      </x:c>
      <x:c r="P118" s="62" t="str">
        <x:f>IF(OR(G118="",H118="Ikke spillet"),"",IF(G118="Single",O118,IF(J118="","",(O118+J118)/2)))</x:f>
      </x:c>
      <x:c r="Q118" s="62" t="str">
        <x:f>IF(OR(G118="",H118="Ikke spillet"),"",IF(G118="Single",L118,IF(OR(L118="",N118=""),"",(L118+N118)/2)))</x:f>
      </x:c>
      <x:c r="R118" s="62" t="str">
        <x:f>IF(OR(P118="",Q118=""),"",Q118-P118)</x:f>
      </x:c>
      <x:c r="S118" s="62" t="str">
        <x:f>IF(H118="Ikke spillet","",IF(R118="","",IF(ABS(R118)&lt;0.000001,"Lige (0)",VLOOKUP(ABS(R118),'BD Pointtabel'!$A$4:$G$15,2,TRUE))))</x:f>
      </x:c>
      <x:c r="T118" s="62" t="str">
        <x:f>IF(H118="Ikke spillet","Ikke spillet",IF(H118="Planlagt","Planlagt",IF(OR(H118="",P118="",Q118=""),"",IF(H118="Vundet",IF(R118&gt;0,"Uventet sejr","Ventet sejr"),IF(R118&gt;=0,"Ventet nederlag","Uventet nederlag")))))</x:f>
      </x:c>
      <x:c r="U118" s="62" t="str">
        <x:f>IF(OR(H118="Ikke spillet",H118="Planlagt"),"",IF(OR(G118="",H118="",P118="",Q118=""),"",IF(AND(F118="Ungdomsholdturnering",OR(G118="Double",G118="Mix"),H118="Tabt"),0,IF(H118="Vundet",IF(R118&gt;0,VLOOKUP(ABS(R118),'BD Pointtabel'!$A$4:$G$15,4,TRUE),VLOOKUP(ABS(R118),'BD Pointtabel'!$A$4:$G$15,7,TRUE)),IF(R118&gt;=0,VLOOKUP(ABS(R118),'BD Pointtabel'!$A$4:$G$15,6,TRUE),VLOOKUP(ABS(R118),'BD Pointtabel'!$A$4:$G$15,3,TRUE))))))</x:f>
      </x:c>
      <x:c r="V118" s="62" t="str">
        <x:f>IF(G118="","",SUMIFS($U$10:U118,$AG$10:AG118,AG118,$G$10:G118,G118))</x:f>
      </x:c>
      <x:c r="W118" s="62" t="str">
        <x:f>IF(C118="","",IF(AN118&lt;&gt;1,"",IF(G118="Single",AA118,IF(G118="Double",AC118,AE118))))</x:f>
      </x:c>
      <x:c r="X118" s="62" t="str">
        <x:f>IF(C118="","",IF(AN118&lt;&gt;1,"",ROUND(((AA118*AB118+AC118*AD118+AE118*AF118)/(AB118+AD118+AF118))+IF((MAX(AA118,AC118,AE118)-(AA118+AC118+AE118-MAX(AA118,AC118,AE118)-MIN(AA118,AC118,AE118)))&lt;'Model &amp; indstillinger'!$E$16,'Model &amp; indstillinger'!$E$18,'Model &amp; indstillinger'!$E$20)*(MAX(AA118,AC118,AE118)-((AA118*AB118+AC118*AD118+AE118*AF118)/(AB118+AD118+AF118))),0)))</x:f>
      </x:c>
      <x:c r="Y118" s="62" t="str">
        <x:f>IF(X118="","",'Model &amp; indstillinger'!$B$4-X118)</x:f>
      </x:c>
      <x:c r="Z118" s="62" t="str">
        <x:f>IF(C118="","",IF(H118="Planlagt","Planlagt – ingen point endnu",IF(H118="Ikke spillet","Ikke spillet – tæller ikke som kamp og giver ingen point",IF(AN118=1,"STÆVNE SLUT – samlet point tilskrives","Frosset pointgrundlag – ingen tilskrivning endnu"))))</x:f>
      </x:c>
      <x:c r="AA118" s="60" t="str">
        <x:f>IF(C118="","",'Model &amp; indstillinger'!$B$6+SUMIFS($U$10:U118,$G$10:G118,"Single"))</x:f>
      </x:c>
      <x:c r="AB118" s="60" t="str">
        <x:f>IF(C118="","",'Model &amp; indstillinger'!$B$7+COUNTIFS($G$10:G118,"Single",$AK$10:AK118,1))</x:f>
      </x:c>
      <x:c r="AC118" s="60" t="str">
        <x:f>IF(C118="","",'Model &amp; indstillinger'!$B$8+SUMIFS($U$10:U118,$G$10:G118,"Double"))</x:f>
      </x:c>
      <x:c r="AD118" s="60" t="str">
        <x:f>IF(C118="","",'Model &amp; indstillinger'!$B$9+COUNTIFS($G$10:G118,"Double",$AK$10:AK118,1))</x:f>
      </x:c>
      <x:c r="AE118" s="60" t="str">
        <x:f>IF(C118="","",'Model &amp; indstillinger'!$B$10+SUMIFS($U$10:U118,$G$10:G118,"Mix"))</x:f>
      </x:c>
      <x:c r="AF118" s="60" t="str">
        <x:f>IF(C118="","",'Model &amp; indstillinger'!$B$11+COUNTIFS($G$10:G118,"Mix",$AK$10:AK118,1))</x:f>
      </x:c>
      <x:c r="AG118" s="60" t="str">
        <x:f>IF(C118="","",IF(C118=C117,AG117,AG117+1))</x:f>
      </x:c>
      <x:c r="AH118" s="60" t="str">
        <x:f>IF(C118="","",IF(AG118=AG117,AH117,AA117))</x:f>
      </x:c>
      <x:c r="AI118" s="60" t="str">
        <x:f>IF(C118="","",IF(AG118=AG117,AI117,AC117))</x:f>
      </x:c>
      <x:c r="AJ118" s="60" t="str">
        <x:f>IF(C118="","",IF(AG118=AG117,AJ117,AE117))</x:f>
      </x:c>
      <x:c r="AK118" s="60" t="n">
        <x:f>IF(OR(H118="Vundet",H118="Tabt"),1,0)</x:f>
        <x:v>0</x:v>
      </x:c>
      <x:c r="AL118" s="60" t="n"/>
      <x:c r="AM118" s="60" t="n">
        <x:f>MAX($AG$10:$AG$209)</x:f>
        <x:v>4</x:v>
      </x:c>
      <x:c r="AN118" s="60" t="str">
        <x:f>IF(C118="","",IF(AND(C119&lt;&gt;"",C119&lt;&gt;C118),1,0))</x:f>
      </x:c>
      <x:c r="AO118" s="60" t="n"/>
      <x:c r="AP118" s="60" t="n">
        <x:f>MAX($AG$10:$AG$209)</x:f>
        <x:v>4</x:v>
      </x:c>
      <x:c r="AQ118" t="str">
        <x:f>AG118</x:f>
      </x:c>
      <x:c r="AR118" t="n">
        <x:f>C118</x:f>
        <x:v>0</x:v>
      </x:c>
      <x:c r="AS118" t="n">
        <x:f>E118</x:f>
        <x:v>0</x:v>
      </x:c>
    </x:row>
    <x:row r="119">
      <x:c r="A119" s="60" t="str">
        <x:f>IF(C119="","",COUNTIF($C$10:C119,"&lt;&gt;"))</x:f>
      </x:c>
      <x:c r="B119" s="122" t="n"/>
      <x:c r="C119" s="87" t="n"/>
      <x:c r="D119" s="87" t="n"/>
      <x:c r="E119" s="87" t="n"/>
      <x:c r="F119" s="87" t="n"/>
      <x:c r="G119" s="87" t="n"/>
      <x:c r="H119" s="87" t="n"/>
      <x:c r="I119" s="87" t="n"/>
      <x:c r="J119" s="87" t="n"/>
      <x:c r="K119" s="87" t="n"/>
      <x:c r="L119" s="87" t="n"/>
      <x:c r="M119" s="87" t="n"/>
      <x:c r="N119" s="87" t="n"/>
      <x:c r="O119" s="62" t="str">
        <x:f>IF(G119="","",IF(G119="Single",AH119,IF(G119="Double",AI119,AJ119)))</x:f>
      </x:c>
      <x:c r="P119" s="62" t="str">
        <x:f>IF(OR(G119="",H119="Ikke spillet"),"",IF(G119="Single",O119,IF(J119="","",(O119+J119)/2)))</x:f>
      </x:c>
      <x:c r="Q119" s="62" t="str">
        <x:f>IF(OR(G119="",H119="Ikke spillet"),"",IF(G119="Single",L119,IF(OR(L119="",N119=""),"",(L119+N119)/2)))</x:f>
      </x:c>
      <x:c r="R119" s="62" t="str">
        <x:f>IF(OR(P119="",Q119=""),"",Q119-P119)</x:f>
      </x:c>
      <x:c r="S119" s="62" t="str">
        <x:f>IF(H119="Ikke spillet","",IF(R119="","",IF(ABS(R119)&lt;0.000001,"Lige (0)",VLOOKUP(ABS(R119),'BD Pointtabel'!$A$4:$G$15,2,TRUE))))</x:f>
      </x:c>
      <x:c r="T119" s="62" t="str">
        <x:f>IF(H119="Ikke spillet","Ikke spillet",IF(H119="Planlagt","Planlagt",IF(OR(H119="",P119="",Q119=""),"",IF(H119="Vundet",IF(R119&gt;0,"Uventet sejr","Ventet sejr"),IF(R119&gt;=0,"Ventet nederlag","Uventet nederlag")))))</x:f>
      </x:c>
      <x:c r="U119" s="62" t="str">
        <x:f>IF(OR(H119="Ikke spillet",H119="Planlagt"),"",IF(OR(G119="",H119="",P119="",Q119=""),"",IF(AND(F119="Ungdomsholdturnering",OR(G119="Double",G119="Mix"),H119="Tabt"),0,IF(H119="Vundet",IF(R119&gt;0,VLOOKUP(ABS(R119),'BD Pointtabel'!$A$4:$G$15,4,TRUE),VLOOKUP(ABS(R119),'BD Pointtabel'!$A$4:$G$15,7,TRUE)),IF(R119&gt;=0,VLOOKUP(ABS(R119),'BD Pointtabel'!$A$4:$G$15,6,TRUE),VLOOKUP(ABS(R119),'BD Pointtabel'!$A$4:$G$15,3,TRUE))))))</x:f>
      </x:c>
      <x:c r="V119" s="62" t="str">
        <x:f>IF(G119="","",SUMIFS($U$10:U119,$AG$10:AG119,AG119,$G$10:G119,G119))</x:f>
      </x:c>
      <x:c r="W119" s="62" t="str">
        <x:f>IF(C119="","",IF(AN119&lt;&gt;1,"",IF(G119="Single",AA119,IF(G119="Double",AC119,AE119))))</x:f>
      </x:c>
      <x:c r="X119" s="62" t="str">
        <x:f>IF(C119="","",IF(AN119&lt;&gt;1,"",ROUND(((AA119*AB119+AC119*AD119+AE119*AF119)/(AB119+AD119+AF119))+IF((MAX(AA119,AC119,AE119)-(AA119+AC119+AE119-MAX(AA119,AC119,AE119)-MIN(AA119,AC119,AE119)))&lt;'Model &amp; indstillinger'!$E$16,'Model &amp; indstillinger'!$E$18,'Model &amp; indstillinger'!$E$20)*(MAX(AA119,AC119,AE119)-((AA119*AB119+AC119*AD119+AE119*AF119)/(AB119+AD119+AF119))),0)))</x:f>
      </x:c>
      <x:c r="Y119" s="62" t="str">
        <x:f>IF(X119="","",'Model &amp; indstillinger'!$B$4-X119)</x:f>
      </x:c>
      <x:c r="Z119" s="62" t="str">
        <x:f>IF(C119="","",IF(H119="Planlagt","Planlagt – ingen point endnu",IF(H119="Ikke spillet","Ikke spillet – tæller ikke som kamp og giver ingen point",IF(AN119=1,"STÆVNE SLUT – samlet point tilskrives","Frosset pointgrundlag – ingen tilskrivning endnu"))))</x:f>
      </x:c>
      <x:c r="AA119" s="60" t="str">
        <x:f>IF(C119="","",'Model &amp; indstillinger'!$B$6+SUMIFS($U$10:U119,$G$10:G119,"Single"))</x:f>
      </x:c>
      <x:c r="AB119" s="60" t="str">
        <x:f>IF(C119="","",'Model &amp; indstillinger'!$B$7+COUNTIFS($G$10:G119,"Single",$AK$10:AK119,1))</x:f>
      </x:c>
      <x:c r="AC119" s="60" t="str">
        <x:f>IF(C119="","",'Model &amp; indstillinger'!$B$8+SUMIFS($U$10:U119,$G$10:G119,"Double"))</x:f>
      </x:c>
      <x:c r="AD119" s="60" t="str">
        <x:f>IF(C119="","",'Model &amp; indstillinger'!$B$9+COUNTIFS($G$10:G119,"Double",$AK$10:AK119,1))</x:f>
      </x:c>
      <x:c r="AE119" s="60" t="str">
        <x:f>IF(C119="","",'Model &amp; indstillinger'!$B$10+SUMIFS($U$10:U119,$G$10:G119,"Mix"))</x:f>
      </x:c>
      <x:c r="AF119" s="60" t="str">
        <x:f>IF(C119="","",'Model &amp; indstillinger'!$B$11+COUNTIFS($G$10:G119,"Mix",$AK$10:AK119,1))</x:f>
      </x:c>
      <x:c r="AG119" s="60" t="str">
        <x:f>IF(C119="","",IF(C119=C118,AG118,AG118+1))</x:f>
      </x:c>
      <x:c r="AH119" s="60" t="str">
        <x:f>IF(C119="","",IF(AG119=AG118,AH118,AA118))</x:f>
      </x:c>
      <x:c r="AI119" s="60" t="str">
        <x:f>IF(C119="","",IF(AG119=AG118,AI118,AC118))</x:f>
      </x:c>
      <x:c r="AJ119" s="60" t="str">
        <x:f>IF(C119="","",IF(AG119=AG118,AJ118,AE118))</x:f>
      </x:c>
      <x:c r="AK119" s="60" t="n">
        <x:f>IF(OR(H119="Vundet",H119="Tabt"),1,0)</x:f>
        <x:v>0</x:v>
      </x:c>
      <x:c r="AL119" s="60" t="n"/>
      <x:c r="AM119" s="60" t="n">
        <x:f>MAX($AG$10:$AG$209)</x:f>
        <x:v>4</x:v>
      </x:c>
      <x:c r="AN119" s="60" t="str">
        <x:f>IF(C119="","",IF(AND(C120&lt;&gt;"",C120&lt;&gt;C119),1,0))</x:f>
      </x:c>
      <x:c r="AO119" s="60" t="n"/>
      <x:c r="AP119" s="60" t="n">
        <x:f>MAX($AG$10:$AG$209)</x:f>
        <x:v>4</x:v>
      </x:c>
      <x:c r="AQ119" t="str">
        <x:f>AG119</x:f>
      </x:c>
      <x:c r="AR119" t="n">
        <x:f>C119</x:f>
        <x:v>0</x:v>
      </x:c>
      <x:c r="AS119" t="n">
        <x:f>E119</x:f>
        <x:v>0</x:v>
      </x:c>
    </x:row>
    <x:row r="120">
      <x:c r="A120" s="60" t="str">
        <x:f>IF(C120="","",COUNTIF($C$10:C120,"&lt;&gt;"))</x:f>
      </x:c>
      <x:c r="B120" s="122" t="n"/>
      <x:c r="C120" s="87" t="n"/>
      <x:c r="D120" s="87" t="n"/>
      <x:c r="E120" s="87" t="n"/>
      <x:c r="F120" s="87" t="n"/>
      <x:c r="G120" s="87" t="n"/>
      <x:c r="H120" s="87" t="n"/>
      <x:c r="I120" s="87" t="n"/>
      <x:c r="J120" s="87" t="n"/>
      <x:c r="K120" s="87" t="n"/>
      <x:c r="L120" s="87" t="n"/>
      <x:c r="M120" s="87" t="n"/>
      <x:c r="N120" s="87" t="n"/>
      <x:c r="O120" s="62" t="str">
        <x:f>IF(G120="","",IF(G120="Single",AH120,IF(G120="Double",AI120,AJ120)))</x:f>
      </x:c>
      <x:c r="P120" s="62" t="str">
        <x:f>IF(OR(G120="",H120="Ikke spillet"),"",IF(G120="Single",O120,IF(J120="","",(O120+J120)/2)))</x:f>
      </x:c>
      <x:c r="Q120" s="62" t="str">
        <x:f>IF(OR(G120="",H120="Ikke spillet"),"",IF(G120="Single",L120,IF(OR(L120="",N120=""),"",(L120+N120)/2)))</x:f>
      </x:c>
      <x:c r="R120" s="62" t="str">
        <x:f>IF(OR(P120="",Q120=""),"",Q120-P120)</x:f>
      </x:c>
      <x:c r="S120" s="62" t="str">
        <x:f>IF(H120="Ikke spillet","",IF(R120="","",IF(ABS(R120)&lt;0.000001,"Lige (0)",VLOOKUP(ABS(R120),'BD Pointtabel'!$A$4:$G$15,2,TRUE))))</x:f>
      </x:c>
      <x:c r="T120" s="62" t="str">
        <x:f>IF(H120="Ikke spillet","Ikke spillet",IF(H120="Planlagt","Planlagt",IF(OR(H120="",P120="",Q120=""),"",IF(H120="Vundet",IF(R120&gt;0,"Uventet sejr","Ventet sejr"),IF(R120&gt;=0,"Ventet nederlag","Uventet nederlag")))))</x:f>
      </x:c>
      <x:c r="U120" s="62" t="str">
        <x:f>IF(OR(H120="Ikke spillet",H120="Planlagt"),"",IF(OR(G120="",H120="",P120="",Q120=""),"",IF(AND(F120="Ungdomsholdturnering",OR(G120="Double",G120="Mix"),H120="Tabt"),0,IF(H120="Vundet",IF(R120&gt;0,VLOOKUP(ABS(R120),'BD Pointtabel'!$A$4:$G$15,4,TRUE),VLOOKUP(ABS(R120),'BD Pointtabel'!$A$4:$G$15,7,TRUE)),IF(R120&gt;=0,VLOOKUP(ABS(R120),'BD Pointtabel'!$A$4:$G$15,6,TRUE),VLOOKUP(ABS(R120),'BD Pointtabel'!$A$4:$G$15,3,TRUE))))))</x:f>
      </x:c>
      <x:c r="V120" s="62" t="str">
        <x:f>IF(G120="","",SUMIFS($U$10:U120,$AG$10:AG120,AG120,$G$10:G120,G120))</x:f>
      </x:c>
      <x:c r="W120" s="62" t="str">
        <x:f>IF(C120="","",IF(AN120&lt;&gt;1,"",IF(G120="Single",AA120,IF(G120="Double",AC120,AE120))))</x:f>
      </x:c>
      <x:c r="X120" s="62" t="str">
        <x:f>IF(C120="","",IF(AN120&lt;&gt;1,"",ROUND(((AA120*AB120+AC120*AD120+AE120*AF120)/(AB120+AD120+AF120))+IF((MAX(AA120,AC120,AE120)-(AA120+AC120+AE120-MAX(AA120,AC120,AE120)-MIN(AA120,AC120,AE120)))&lt;'Model &amp; indstillinger'!$E$16,'Model &amp; indstillinger'!$E$18,'Model &amp; indstillinger'!$E$20)*(MAX(AA120,AC120,AE120)-((AA120*AB120+AC120*AD120+AE120*AF120)/(AB120+AD120+AF120))),0)))</x:f>
      </x:c>
      <x:c r="Y120" s="62" t="str">
        <x:f>IF(X120="","",'Model &amp; indstillinger'!$B$4-X120)</x:f>
      </x:c>
      <x:c r="Z120" s="62" t="str">
        <x:f>IF(C120="","",IF(H120="Planlagt","Planlagt – ingen point endnu",IF(H120="Ikke spillet","Ikke spillet – tæller ikke som kamp og giver ingen point",IF(AN120=1,"STÆVNE SLUT – samlet point tilskrives","Frosset pointgrundlag – ingen tilskrivning endnu"))))</x:f>
      </x:c>
      <x:c r="AA120" s="60" t="str">
        <x:f>IF(C120="","",'Model &amp; indstillinger'!$B$6+SUMIFS($U$10:U120,$G$10:G120,"Single"))</x:f>
      </x:c>
      <x:c r="AB120" s="60" t="str">
        <x:f>IF(C120="","",'Model &amp; indstillinger'!$B$7+COUNTIFS($G$10:G120,"Single",$AK$10:AK120,1))</x:f>
      </x:c>
      <x:c r="AC120" s="60" t="str">
        <x:f>IF(C120="","",'Model &amp; indstillinger'!$B$8+SUMIFS($U$10:U120,$G$10:G120,"Double"))</x:f>
      </x:c>
      <x:c r="AD120" s="60" t="str">
        <x:f>IF(C120="","",'Model &amp; indstillinger'!$B$9+COUNTIFS($G$10:G120,"Double",$AK$10:AK120,1))</x:f>
      </x:c>
      <x:c r="AE120" s="60" t="str">
        <x:f>IF(C120="","",'Model &amp; indstillinger'!$B$10+SUMIFS($U$10:U120,$G$10:G120,"Mix"))</x:f>
      </x:c>
      <x:c r="AF120" s="60" t="str">
        <x:f>IF(C120="","",'Model &amp; indstillinger'!$B$11+COUNTIFS($G$10:G120,"Mix",$AK$10:AK120,1))</x:f>
      </x:c>
      <x:c r="AG120" s="60" t="str">
        <x:f>IF(C120="","",IF(C120=C119,AG119,AG119+1))</x:f>
      </x:c>
      <x:c r="AH120" s="60" t="str">
        <x:f>IF(C120="","",IF(AG120=AG119,AH119,AA119))</x:f>
      </x:c>
      <x:c r="AI120" s="60" t="str">
        <x:f>IF(C120="","",IF(AG120=AG119,AI119,AC119))</x:f>
      </x:c>
      <x:c r="AJ120" s="60" t="str">
        <x:f>IF(C120="","",IF(AG120=AG119,AJ119,AE119))</x:f>
      </x:c>
      <x:c r="AK120" s="60" t="n">
        <x:f>IF(OR(H120="Vundet",H120="Tabt"),1,0)</x:f>
        <x:v>0</x:v>
      </x:c>
      <x:c r="AL120" s="60" t="n"/>
      <x:c r="AM120" s="60" t="n">
        <x:f>MAX($AG$10:$AG$209)</x:f>
        <x:v>4</x:v>
      </x:c>
      <x:c r="AN120" s="60" t="str">
        <x:f>IF(C120="","",IF(AND(C121&lt;&gt;"",C121&lt;&gt;C120),1,0))</x:f>
      </x:c>
      <x:c r="AO120" s="60" t="n"/>
      <x:c r="AP120" s="60" t="n">
        <x:f>MAX($AG$10:$AG$209)</x:f>
        <x:v>4</x:v>
      </x:c>
      <x:c r="AQ120" t="str">
        <x:f>AG120</x:f>
      </x:c>
      <x:c r="AR120" t="n">
        <x:f>C120</x:f>
        <x:v>0</x:v>
      </x:c>
      <x:c r="AS120" t="n">
        <x:f>E120</x:f>
        <x:v>0</x:v>
      </x:c>
    </x:row>
    <x:row r="121">
      <x:c r="A121" s="60" t="str">
        <x:f>IF(C121="","",COUNTIF($C$10:C121,"&lt;&gt;"))</x:f>
      </x:c>
      <x:c r="B121" s="122" t="n"/>
      <x:c r="C121" s="87" t="n"/>
      <x:c r="D121" s="87" t="n"/>
      <x:c r="E121" s="87" t="n"/>
      <x:c r="F121" s="87" t="n"/>
      <x:c r="G121" s="87" t="n"/>
      <x:c r="H121" s="87" t="n"/>
      <x:c r="I121" s="87" t="n"/>
      <x:c r="J121" s="87" t="n"/>
      <x:c r="K121" s="87" t="n"/>
      <x:c r="L121" s="87" t="n"/>
      <x:c r="M121" s="87" t="n"/>
      <x:c r="N121" s="87" t="n"/>
      <x:c r="O121" s="62" t="str">
        <x:f>IF(G121="","",IF(G121="Single",AH121,IF(G121="Double",AI121,AJ121)))</x:f>
      </x:c>
      <x:c r="P121" s="62" t="str">
        <x:f>IF(OR(G121="",H121="Ikke spillet"),"",IF(G121="Single",O121,IF(J121="","",(O121+J121)/2)))</x:f>
      </x:c>
      <x:c r="Q121" s="62" t="str">
        <x:f>IF(OR(G121="",H121="Ikke spillet"),"",IF(G121="Single",L121,IF(OR(L121="",N121=""),"",(L121+N121)/2)))</x:f>
      </x:c>
      <x:c r="R121" s="62" t="str">
        <x:f>IF(OR(P121="",Q121=""),"",Q121-P121)</x:f>
      </x:c>
      <x:c r="S121" s="62" t="str">
        <x:f>IF(H121="Ikke spillet","",IF(R121="","",IF(ABS(R121)&lt;0.000001,"Lige (0)",VLOOKUP(ABS(R121),'BD Pointtabel'!$A$4:$G$15,2,TRUE))))</x:f>
      </x:c>
      <x:c r="T121" s="62" t="str">
        <x:f>IF(H121="Ikke spillet","Ikke spillet",IF(H121="Planlagt","Planlagt",IF(OR(H121="",P121="",Q121=""),"",IF(H121="Vundet",IF(R121&gt;0,"Uventet sejr","Ventet sejr"),IF(R121&gt;=0,"Ventet nederlag","Uventet nederlag")))))</x:f>
      </x:c>
      <x:c r="U121" s="62" t="str">
        <x:f>IF(OR(H121="Ikke spillet",H121="Planlagt"),"",IF(OR(G121="",H121="",P121="",Q121=""),"",IF(AND(F121="Ungdomsholdturnering",OR(G121="Double",G121="Mix"),H121="Tabt"),0,IF(H121="Vundet",IF(R121&gt;0,VLOOKUP(ABS(R121),'BD Pointtabel'!$A$4:$G$15,4,TRUE),VLOOKUP(ABS(R121),'BD Pointtabel'!$A$4:$G$15,7,TRUE)),IF(R121&gt;=0,VLOOKUP(ABS(R121),'BD Pointtabel'!$A$4:$G$15,6,TRUE),VLOOKUP(ABS(R121),'BD Pointtabel'!$A$4:$G$15,3,TRUE))))))</x:f>
      </x:c>
      <x:c r="V121" s="62" t="str">
        <x:f>IF(G121="","",SUMIFS($U$10:U121,$AG$10:AG121,AG121,$G$10:G121,G121))</x:f>
      </x:c>
      <x:c r="W121" s="62" t="str">
        <x:f>IF(C121="","",IF(AN121&lt;&gt;1,"",IF(G121="Single",AA121,IF(G121="Double",AC121,AE121))))</x:f>
      </x:c>
      <x:c r="X121" s="62" t="str">
        <x:f>IF(C121="","",IF(AN121&lt;&gt;1,"",ROUND(((AA121*AB121+AC121*AD121+AE121*AF121)/(AB121+AD121+AF121))+IF((MAX(AA121,AC121,AE121)-(AA121+AC121+AE121-MAX(AA121,AC121,AE121)-MIN(AA121,AC121,AE121)))&lt;'Model &amp; indstillinger'!$E$16,'Model &amp; indstillinger'!$E$18,'Model &amp; indstillinger'!$E$20)*(MAX(AA121,AC121,AE121)-((AA121*AB121+AC121*AD121+AE121*AF121)/(AB121+AD121+AF121))),0)))</x:f>
      </x:c>
      <x:c r="Y121" s="62" t="str">
        <x:f>IF(X121="","",'Model &amp; indstillinger'!$B$4-X121)</x:f>
      </x:c>
      <x:c r="Z121" s="62" t="str">
        <x:f>IF(C121="","",IF(H121="Planlagt","Planlagt – ingen point endnu",IF(H121="Ikke spillet","Ikke spillet – tæller ikke som kamp og giver ingen point",IF(AN121=1,"STÆVNE SLUT – samlet point tilskrives","Frosset pointgrundlag – ingen tilskrivning endnu"))))</x:f>
      </x:c>
      <x:c r="AA121" s="60" t="str">
        <x:f>IF(C121="","",'Model &amp; indstillinger'!$B$6+SUMIFS($U$10:U121,$G$10:G121,"Single"))</x:f>
      </x:c>
      <x:c r="AB121" s="60" t="str">
        <x:f>IF(C121="","",'Model &amp; indstillinger'!$B$7+COUNTIFS($G$10:G121,"Single",$AK$10:AK121,1))</x:f>
      </x:c>
      <x:c r="AC121" s="60" t="str">
        <x:f>IF(C121="","",'Model &amp; indstillinger'!$B$8+SUMIFS($U$10:U121,$G$10:G121,"Double"))</x:f>
      </x:c>
      <x:c r="AD121" s="60" t="str">
        <x:f>IF(C121="","",'Model &amp; indstillinger'!$B$9+COUNTIFS($G$10:G121,"Double",$AK$10:AK121,1))</x:f>
      </x:c>
      <x:c r="AE121" s="60" t="str">
        <x:f>IF(C121="","",'Model &amp; indstillinger'!$B$10+SUMIFS($U$10:U121,$G$10:G121,"Mix"))</x:f>
      </x:c>
      <x:c r="AF121" s="60" t="str">
        <x:f>IF(C121="","",'Model &amp; indstillinger'!$B$11+COUNTIFS($G$10:G121,"Mix",$AK$10:AK121,1))</x:f>
      </x:c>
      <x:c r="AG121" s="60" t="str">
        <x:f>IF(C121="","",IF(C121=C120,AG120,AG120+1))</x:f>
      </x:c>
      <x:c r="AH121" s="60" t="str">
        <x:f>IF(C121="","",IF(AG121=AG120,AH120,AA120))</x:f>
      </x:c>
      <x:c r="AI121" s="60" t="str">
        <x:f>IF(C121="","",IF(AG121=AG120,AI120,AC120))</x:f>
      </x:c>
      <x:c r="AJ121" s="60" t="str">
        <x:f>IF(C121="","",IF(AG121=AG120,AJ120,AE120))</x:f>
      </x:c>
      <x:c r="AK121" s="60" t="n">
        <x:f>IF(OR(H121="Vundet",H121="Tabt"),1,0)</x:f>
        <x:v>0</x:v>
      </x:c>
      <x:c r="AL121" s="60" t="n"/>
      <x:c r="AM121" s="60" t="n">
        <x:f>MAX($AG$10:$AG$209)</x:f>
        <x:v>4</x:v>
      </x:c>
      <x:c r="AN121" s="60" t="str">
        <x:f>IF(C121="","",IF(AND(C122&lt;&gt;"",C122&lt;&gt;C121),1,0))</x:f>
      </x:c>
      <x:c r="AO121" s="60" t="n"/>
      <x:c r="AP121" s="60" t="n">
        <x:f>MAX($AG$10:$AG$209)</x:f>
        <x:v>4</x:v>
      </x:c>
      <x:c r="AQ121" t="str">
        <x:f>AG121</x:f>
      </x:c>
      <x:c r="AR121" t="n">
        <x:f>C121</x:f>
        <x:v>0</x:v>
      </x:c>
      <x:c r="AS121" t="n">
        <x:f>E121</x:f>
        <x:v>0</x:v>
      </x:c>
    </x:row>
    <x:row r="122">
      <x:c r="A122" s="60" t="str">
        <x:f>IF(C122="","",COUNTIF($C$10:C122,"&lt;&gt;"))</x:f>
      </x:c>
      <x:c r="B122" s="122" t="n"/>
      <x:c r="C122" s="87" t="n"/>
      <x:c r="D122" s="87" t="n"/>
      <x:c r="E122" s="87" t="n"/>
      <x:c r="F122" s="87" t="n"/>
      <x:c r="G122" s="87" t="n"/>
      <x:c r="H122" s="87" t="n"/>
      <x:c r="I122" s="87" t="n"/>
      <x:c r="J122" s="87" t="n"/>
      <x:c r="K122" s="87" t="n"/>
      <x:c r="L122" s="87" t="n"/>
      <x:c r="M122" s="87" t="n"/>
      <x:c r="N122" s="87" t="n"/>
      <x:c r="O122" s="62" t="str">
        <x:f>IF(G122="","",IF(G122="Single",AH122,IF(G122="Double",AI122,AJ122)))</x:f>
      </x:c>
      <x:c r="P122" s="62" t="str">
        <x:f>IF(OR(G122="",H122="Ikke spillet"),"",IF(G122="Single",O122,IF(J122="","",(O122+J122)/2)))</x:f>
      </x:c>
      <x:c r="Q122" s="62" t="str">
        <x:f>IF(OR(G122="",H122="Ikke spillet"),"",IF(G122="Single",L122,IF(OR(L122="",N122=""),"",(L122+N122)/2)))</x:f>
      </x:c>
      <x:c r="R122" s="62" t="str">
        <x:f>IF(OR(P122="",Q122=""),"",Q122-P122)</x:f>
      </x:c>
      <x:c r="S122" s="62" t="str">
        <x:f>IF(H122="Ikke spillet","",IF(R122="","",IF(ABS(R122)&lt;0.000001,"Lige (0)",VLOOKUP(ABS(R122),'BD Pointtabel'!$A$4:$G$15,2,TRUE))))</x:f>
      </x:c>
      <x:c r="T122" s="62" t="str">
        <x:f>IF(H122="Ikke spillet","Ikke spillet",IF(H122="Planlagt","Planlagt",IF(OR(H122="",P122="",Q122=""),"",IF(H122="Vundet",IF(R122&gt;0,"Uventet sejr","Ventet sejr"),IF(R122&gt;=0,"Ventet nederlag","Uventet nederlag")))))</x:f>
      </x:c>
      <x:c r="U122" s="62" t="str">
        <x:f>IF(OR(H122="Ikke spillet",H122="Planlagt"),"",IF(OR(G122="",H122="",P122="",Q122=""),"",IF(AND(F122="Ungdomsholdturnering",OR(G122="Double",G122="Mix"),H122="Tabt"),0,IF(H122="Vundet",IF(R122&gt;0,VLOOKUP(ABS(R122),'BD Pointtabel'!$A$4:$G$15,4,TRUE),VLOOKUP(ABS(R122),'BD Pointtabel'!$A$4:$G$15,7,TRUE)),IF(R122&gt;=0,VLOOKUP(ABS(R122),'BD Pointtabel'!$A$4:$G$15,6,TRUE),VLOOKUP(ABS(R122),'BD Pointtabel'!$A$4:$G$15,3,TRUE))))))</x:f>
      </x:c>
      <x:c r="V122" s="62" t="str">
        <x:f>IF(G122="","",SUMIFS($U$10:U122,$AG$10:AG122,AG122,$G$10:G122,G122))</x:f>
      </x:c>
      <x:c r="W122" s="62" t="str">
        <x:f>IF(C122="","",IF(AN122&lt;&gt;1,"",IF(G122="Single",AA122,IF(G122="Double",AC122,AE122))))</x:f>
      </x:c>
      <x:c r="X122" s="62" t="str">
        <x:f>IF(C122="","",IF(AN122&lt;&gt;1,"",ROUND(((AA122*AB122+AC122*AD122+AE122*AF122)/(AB122+AD122+AF122))+IF((MAX(AA122,AC122,AE122)-(AA122+AC122+AE122-MAX(AA122,AC122,AE122)-MIN(AA122,AC122,AE122)))&lt;'Model &amp; indstillinger'!$E$16,'Model &amp; indstillinger'!$E$18,'Model &amp; indstillinger'!$E$20)*(MAX(AA122,AC122,AE122)-((AA122*AB122+AC122*AD122+AE122*AF122)/(AB122+AD122+AF122))),0)))</x:f>
      </x:c>
      <x:c r="Y122" s="62" t="str">
        <x:f>IF(X122="","",'Model &amp; indstillinger'!$B$4-X122)</x:f>
      </x:c>
      <x:c r="Z122" s="62" t="str">
        <x:f>IF(C122="","",IF(H122="Planlagt","Planlagt – ingen point endnu",IF(H122="Ikke spillet","Ikke spillet – tæller ikke som kamp og giver ingen point",IF(AN122=1,"STÆVNE SLUT – samlet point tilskrives","Frosset pointgrundlag – ingen tilskrivning endnu"))))</x:f>
      </x:c>
      <x:c r="AA122" s="60" t="str">
        <x:f>IF(C122="","",'Model &amp; indstillinger'!$B$6+SUMIFS($U$10:U122,$G$10:G122,"Single"))</x:f>
      </x:c>
      <x:c r="AB122" s="60" t="str">
        <x:f>IF(C122="","",'Model &amp; indstillinger'!$B$7+COUNTIFS($G$10:G122,"Single",$AK$10:AK122,1))</x:f>
      </x:c>
      <x:c r="AC122" s="60" t="str">
        <x:f>IF(C122="","",'Model &amp; indstillinger'!$B$8+SUMIFS($U$10:U122,$G$10:G122,"Double"))</x:f>
      </x:c>
      <x:c r="AD122" s="60" t="str">
        <x:f>IF(C122="","",'Model &amp; indstillinger'!$B$9+COUNTIFS($G$10:G122,"Double",$AK$10:AK122,1))</x:f>
      </x:c>
      <x:c r="AE122" s="60" t="str">
        <x:f>IF(C122="","",'Model &amp; indstillinger'!$B$10+SUMIFS($U$10:U122,$G$10:G122,"Mix"))</x:f>
      </x:c>
      <x:c r="AF122" s="60" t="str">
        <x:f>IF(C122="","",'Model &amp; indstillinger'!$B$11+COUNTIFS($G$10:G122,"Mix",$AK$10:AK122,1))</x:f>
      </x:c>
      <x:c r="AG122" s="60" t="str">
        <x:f>IF(C122="","",IF(C122=C121,AG121,AG121+1))</x:f>
      </x:c>
      <x:c r="AH122" s="60" t="str">
        <x:f>IF(C122="","",IF(AG122=AG121,AH121,AA121))</x:f>
      </x:c>
      <x:c r="AI122" s="60" t="str">
        <x:f>IF(C122="","",IF(AG122=AG121,AI121,AC121))</x:f>
      </x:c>
      <x:c r="AJ122" s="60" t="str">
        <x:f>IF(C122="","",IF(AG122=AG121,AJ121,AE121))</x:f>
      </x:c>
      <x:c r="AK122" s="60" t="n">
        <x:f>IF(OR(H122="Vundet",H122="Tabt"),1,0)</x:f>
        <x:v>0</x:v>
      </x:c>
      <x:c r="AL122" s="60" t="n"/>
      <x:c r="AM122" s="60" t="n">
        <x:f>MAX($AG$10:$AG$209)</x:f>
        <x:v>4</x:v>
      </x:c>
      <x:c r="AN122" s="60" t="str">
        <x:f>IF(C122="","",IF(AND(C123&lt;&gt;"",C123&lt;&gt;C122),1,0))</x:f>
      </x:c>
      <x:c r="AO122" s="60" t="n"/>
      <x:c r="AP122" s="60" t="n">
        <x:f>MAX($AG$10:$AG$209)</x:f>
        <x:v>4</x:v>
      </x:c>
      <x:c r="AQ122" t="str">
        <x:f>AG122</x:f>
      </x:c>
      <x:c r="AR122" t="n">
        <x:f>C122</x:f>
        <x:v>0</x:v>
      </x:c>
      <x:c r="AS122" t="n">
        <x:f>E122</x:f>
        <x:v>0</x:v>
      </x:c>
    </x:row>
    <x:row r="123">
      <x:c r="A123" s="60" t="str">
        <x:f>IF(C123="","",COUNTIF($C$10:C123,"&lt;&gt;"))</x:f>
      </x:c>
      <x:c r="B123" s="122" t="n"/>
      <x:c r="C123" s="87" t="n"/>
      <x:c r="D123" s="87" t="n"/>
      <x:c r="E123" s="87" t="n"/>
      <x:c r="F123" s="87" t="n"/>
      <x:c r="G123" s="87" t="n"/>
      <x:c r="H123" s="87" t="n"/>
      <x:c r="I123" s="87" t="n"/>
      <x:c r="J123" s="87" t="n"/>
      <x:c r="K123" s="87" t="n"/>
      <x:c r="L123" s="87" t="n"/>
      <x:c r="M123" s="87" t="n"/>
      <x:c r="N123" s="87" t="n"/>
      <x:c r="O123" s="62" t="str">
        <x:f>IF(G123="","",IF(G123="Single",AH123,IF(G123="Double",AI123,AJ123)))</x:f>
      </x:c>
      <x:c r="P123" s="62" t="str">
        <x:f>IF(OR(G123="",H123="Ikke spillet"),"",IF(G123="Single",O123,IF(J123="","",(O123+J123)/2)))</x:f>
      </x:c>
      <x:c r="Q123" s="62" t="str">
        <x:f>IF(OR(G123="",H123="Ikke spillet"),"",IF(G123="Single",L123,IF(OR(L123="",N123=""),"",(L123+N123)/2)))</x:f>
      </x:c>
      <x:c r="R123" s="62" t="str">
        <x:f>IF(OR(P123="",Q123=""),"",Q123-P123)</x:f>
      </x:c>
      <x:c r="S123" s="62" t="str">
        <x:f>IF(H123="Ikke spillet","",IF(R123="","",IF(ABS(R123)&lt;0.000001,"Lige (0)",VLOOKUP(ABS(R123),'BD Pointtabel'!$A$4:$G$15,2,TRUE))))</x:f>
      </x:c>
      <x:c r="T123" s="62" t="str">
        <x:f>IF(H123="Ikke spillet","Ikke spillet",IF(H123="Planlagt","Planlagt",IF(OR(H123="",P123="",Q123=""),"",IF(H123="Vundet",IF(R123&gt;0,"Uventet sejr","Ventet sejr"),IF(R123&gt;=0,"Ventet nederlag","Uventet nederlag")))))</x:f>
      </x:c>
      <x:c r="U123" s="62" t="str">
        <x:f>IF(OR(H123="Ikke spillet",H123="Planlagt"),"",IF(OR(G123="",H123="",P123="",Q123=""),"",IF(AND(F123="Ungdomsholdturnering",OR(G123="Double",G123="Mix"),H123="Tabt"),0,IF(H123="Vundet",IF(R123&gt;0,VLOOKUP(ABS(R123),'BD Pointtabel'!$A$4:$G$15,4,TRUE),VLOOKUP(ABS(R123),'BD Pointtabel'!$A$4:$G$15,7,TRUE)),IF(R123&gt;=0,VLOOKUP(ABS(R123),'BD Pointtabel'!$A$4:$G$15,6,TRUE),VLOOKUP(ABS(R123),'BD Pointtabel'!$A$4:$G$15,3,TRUE))))))</x:f>
      </x:c>
      <x:c r="V123" s="62" t="str">
        <x:f>IF(G123="","",SUMIFS($U$10:U123,$AG$10:AG123,AG123,$G$10:G123,G123))</x:f>
      </x:c>
      <x:c r="W123" s="62" t="str">
        <x:f>IF(C123="","",IF(AN123&lt;&gt;1,"",IF(G123="Single",AA123,IF(G123="Double",AC123,AE123))))</x:f>
      </x:c>
      <x:c r="X123" s="62" t="str">
        <x:f>IF(C123="","",IF(AN123&lt;&gt;1,"",ROUND(((AA123*AB123+AC123*AD123+AE123*AF123)/(AB123+AD123+AF123))+IF((MAX(AA123,AC123,AE123)-(AA123+AC123+AE123-MAX(AA123,AC123,AE123)-MIN(AA123,AC123,AE123)))&lt;'Model &amp; indstillinger'!$E$16,'Model &amp; indstillinger'!$E$18,'Model &amp; indstillinger'!$E$20)*(MAX(AA123,AC123,AE123)-((AA123*AB123+AC123*AD123+AE123*AF123)/(AB123+AD123+AF123))),0)))</x:f>
      </x:c>
      <x:c r="Y123" s="62" t="str">
        <x:f>IF(X123="","",'Model &amp; indstillinger'!$B$4-X123)</x:f>
      </x:c>
      <x:c r="Z123" s="62" t="str">
        <x:f>IF(C123="","",IF(H123="Planlagt","Planlagt – ingen point endnu",IF(H123="Ikke spillet","Ikke spillet – tæller ikke som kamp og giver ingen point",IF(AN123=1,"STÆVNE SLUT – samlet point tilskrives","Frosset pointgrundlag – ingen tilskrivning endnu"))))</x:f>
      </x:c>
      <x:c r="AA123" s="60" t="str">
        <x:f>IF(C123="","",'Model &amp; indstillinger'!$B$6+SUMIFS($U$10:U123,$G$10:G123,"Single"))</x:f>
      </x:c>
      <x:c r="AB123" s="60" t="str">
        <x:f>IF(C123="","",'Model &amp; indstillinger'!$B$7+COUNTIFS($G$10:G123,"Single",$AK$10:AK123,1))</x:f>
      </x:c>
      <x:c r="AC123" s="60" t="str">
        <x:f>IF(C123="","",'Model &amp; indstillinger'!$B$8+SUMIFS($U$10:U123,$G$10:G123,"Double"))</x:f>
      </x:c>
      <x:c r="AD123" s="60" t="str">
        <x:f>IF(C123="","",'Model &amp; indstillinger'!$B$9+COUNTIFS($G$10:G123,"Double",$AK$10:AK123,1))</x:f>
      </x:c>
      <x:c r="AE123" s="60" t="str">
        <x:f>IF(C123="","",'Model &amp; indstillinger'!$B$10+SUMIFS($U$10:U123,$G$10:G123,"Mix"))</x:f>
      </x:c>
      <x:c r="AF123" s="60" t="str">
        <x:f>IF(C123="","",'Model &amp; indstillinger'!$B$11+COUNTIFS($G$10:G123,"Mix",$AK$10:AK123,1))</x:f>
      </x:c>
      <x:c r="AG123" s="60" t="str">
        <x:f>IF(C123="","",IF(C123=C122,AG122,AG122+1))</x:f>
      </x:c>
      <x:c r="AH123" s="60" t="str">
        <x:f>IF(C123="","",IF(AG123=AG122,AH122,AA122))</x:f>
      </x:c>
      <x:c r="AI123" s="60" t="str">
        <x:f>IF(C123="","",IF(AG123=AG122,AI122,AC122))</x:f>
      </x:c>
      <x:c r="AJ123" s="60" t="str">
        <x:f>IF(C123="","",IF(AG123=AG122,AJ122,AE122))</x:f>
      </x:c>
      <x:c r="AK123" s="60" t="n">
        <x:f>IF(OR(H123="Vundet",H123="Tabt"),1,0)</x:f>
        <x:v>0</x:v>
      </x:c>
      <x:c r="AL123" s="60" t="n"/>
      <x:c r="AM123" s="60" t="n">
        <x:f>MAX($AG$10:$AG$209)</x:f>
        <x:v>4</x:v>
      </x:c>
      <x:c r="AN123" s="60" t="str">
        <x:f>IF(C123="","",IF(AND(C124&lt;&gt;"",C124&lt;&gt;C123),1,0))</x:f>
      </x:c>
      <x:c r="AO123" s="60" t="n"/>
      <x:c r="AP123" s="60" t="n">
        <x:f>MAX($AG$10:$AG$209)</x:f>
        <x:v>4</x:v>
      </x:c>
      <x:c r="AQ123" t="str">
        <x:f>AG123</x:f>
      </x:c>
      <x:c r="AR123" t="n">
        <x:f>C123</x:f>
        <x:v>0</x:v>
      </x:c>
      <x:c r="AS123" t="n">
        <x:f>E123</x:f>
        <x:v>0</x:v>
      </x:c>
    </x:row>
    <x:row r="124">
      <x:c r="A124" s="60" t="str">
        <x:f>IF(C124="","",COUNTIF($C$10:C124,"&lt;&gt;"))</x:f>
      </x:c>
      <x:c r="B124" s="122" t="n"/>
      <x:c r="C124" s="87" t="n"/>
      <x:c r="D124" s="87" t="n"/>
      <x:c r="E124" s="87" t="n"/>
      <x:c r="F124" s="87" t="n"/>
      <x:c r="G124" s="87" t="n"/>
      <x:c r="H124" s="87" t="n"/>
      <x:c r="I124" s="87" t="n"/>
      <x:c r="J124" s="87" t="n"/>
      <x:c r="K124" s="87" t="n"/>
      <x:c r="L124" s="87" t="n"/>
      <x:c r="M124" s="87" t="n"/>
      <x:c r="N124" s="87" t="n"/>
      <x:c r="O124" s="62" t="str">
        <x:f>IF(G124="","",IF(G124="Single",AH124,IF(G124="Double",AI124,AJ124)))</x:f>
      </x:c>
      <x:c r="P124" s="62" t="str">
        <x:f>IF(OR(G124="",H124="Ikke spillet"),"",IF(G124="Single",O124,IF(J124="","",(O124+J124)/2)))</x:f>
      </x:c>
      <x:c r="Q124" s="62" t="str">
        <x:f>IF(OR(G124="",H124="Ikke spillet"),"",IF(G124="Single",L124,IF(OR(L124="",N124=""),"",(L124+N124)/2)))</x:f>
      </x:c>
      <x:c r="R124" s="62" t="str">
        <x:f>IF(OR(P124="",Q124=""),"",Q124-P124)</x:f>
      </x:c>
      <x:c r="S124" s="62" t="str">
        <x:f>IF(H124="Ikke spillet","",IF(R124="","",IF(ABS(R124)&lt;0.000001,"Lige (0)",VLOOKUP(ABS(R124),'BD Pointtabel'!$A$4:$G$15,2,TRUE))))</x:f>
      </x:c>
      <x:c r="T124" s="62" t="str">
        <x:f>IF(H124="Ikke spillet","Ikke spillet",IF(H124="Planlagt","Planlagt",IF(OR(H124="",P124="",Q124=""),"",IF(H124="Vundet",IF(R124&gt;0,"Uventet sejr","Ventet sejr"),IF(R124&gt;=0,"Ventet nederlag","Uventet nederlag")))))</x:f>
      </x:c>
      <x:c r="U124" s="62" t="str">
        <x:f>IF(OR(H124="Ikke spillet",H124="Planlagt"),"",IF(OR(G124="",H124="",P124="",Q124=""),"",IF(AND(F124="Ungdomsholdturnering",OR(G124="Double",G124="Mix"),H124="Tabt"),0,IF(H124="Vundet",IF(R124&gt;0,VLOOKUP(ABS(R124),'BD Pointtabel'!$A$4:$G$15,4,TRUE),VLOOKUP(ABS(R124),'BD Pointtabel'!$A$4:$G$15,7,TRUE)),IF(R124&gt;=0,VLOOKUP(ABS(R124),'BD Pointtabel'!$A$4:$G$15,6,TRUE),VLOOKUP(ABS(R124),'BD Pointtabel'!$A$4:$G$15,3,TRUE))))))</x:f>
      </x:c>
      <x:c r="V124" s="62" t="str">
        <x:f>IF(G124="","",SUMIFS($U$10:U124,$AG$10:AG124,AG124,$G$10:G124,G124))</x:f>
      </x:c>
      <x:c r="W124" s="62" t="str">
        <x:f>IF(C124="","",IF(AN124&lt;&gt;1,"",IF(G124="Single",AA124,IF(G124="Double",AC124,AE124))))</x:f>
      </x:c>
      <x:c r="X124" s="62" t="str">
        <x:f>IF(C124="","",IF(AN124&lt;&gt;1,"",ROUND(((AA124*AB124+AC124*AD124+AE124*AF124)/(AB124+AD124+AF124))+IF((MAX(AA124,AC124,AE124)-(AA124+AC124+AE124-MAX(AA124,AC124,AE124)-MIN(AA124,AC124,AE124)))&lt;'Model &amp; indstillinger'!$E$16,'Model &amp; indstillinger'!$E$18,'Model &amp; indstillinger'!$E$20)*(MAX(AA124,AC124,AE124)-((AA124*AB124+AC124*AD124+AE124*AF124)/(AB124+AD124+AF124))),0)))</x:f>
      </x:c>
      <x:c r="Y124" s="62" t="str">
        <x:f>IF(X124="","",'Model &amp; indstillinger'!$B$4-X124)</x:f>
      </x:c>
      <x:c r="Z124" s="62" t="str">
        <x:f>IF(C124="","",IF(H124="Planlagt","Planlagt – ingen point endnu",IF(H124="Ikke spillet","Ikke spillet – tæller ikke som kamp og giver ingen point",IF(AN124=1,"STÆVNE SLUT – samlet point tilskrives","Frosset pointgrundlag – ingen tilskrivning endnu"))))</x:f>
      </x:c>
      <x:c r="AA124" s="60" t="str">
        <x:f>IF(C124="","",'Model &amp; indstillinger'!$B$6+SUMIFS($U$10:U124,$G$10:G124,"Single"))</x:f>
      </x:c>
      <x:c r="AB124" s="60" t="str">
        <x:f>IF(C124="","",'Model &amp; indstillinger'!$B$7+COUNTIFS($G$10:G124,"Single",$AK$10:AK124,1))</x:f>
      </x:c>
      <x:c r="AC124" s="60" t="str">
        <x:f>IF(C124="","",'Model &amp; indstillinger'!$B$8+SUMIFS($U$10:U124,$G$10:G124,"Double"))</x:f>
      </x:c>
      <x:c r="AD124" s="60" t="str">
        <x:f>IF(C124="","",'Model &amp; indstillinger'!$B$9+COUNTIFS($G$10:G124,"Double",$AK$10:AK124,1))</x:f>
      </x:c>
      <x:c r="AE124" s="60" t="str">
        <x:f>IF(C124="","",'Model &amp; indstillinger'!$B$10+SUMIFS($U$10:U124,$G$10:G124,"Mix"))</x:f>
      </x:c>
      <x:c r="AF124" s="60" t="str">
        <x:f>IF(C124="","",'Model &amp; indstillinger'!$B$11+COUNTIFS($G$10:G124,"Mix",$AK$10:AK124,1))</x:f>
      </x:c>
      <x:c r="AG124" s="60" t="str">
        <x:f>IF(C124="","",IF(C124=C123,AG123,AG123+1))</x:f>
      </x:c>
      <x:c r="AH124" s="60" t="str">
        <x:f>IF(C124="","",IF(AG124=AG123,AH123,AA123))</x:f>
      </x:c>
      <x:c r="AI124" s="60" t="str">
        <x:f>IF(C124="","",IF(AG124=AG123,AI123,AC123))</x:f>
      </x:c>
      <x:c r="AJ124" s="60" t="str">
        <x:f>IF(C124="","",IF(AG124=AG123,AJ123,AE123))</x:f>
      </x:c>
      <x:c r="AK124" s="60" t="n">
        <x:f>IF(OR(H124="Vundet",H124="Tabt"),1,0)</x:f>
        <x:v>0</x:v>
      </x:c>
      <x:c r="AL124" s="60" t="n"/>
      <x:c r="AM124" s="60" t="n">
        <x:f>MAX($AG$10:$AG$209)</x:f>
        <x:v>4</x:v>
      </x:c>
      <x:c r="AN124" s="60" t="str">
        <x:f>IF(C124="","",IF(AND(C125&lt;&gt;"",C125&lt;&gt;C124),1,0))</x:f>
      </x:c>
      <x:c r="AO124" s="60" t="n"/>
      <x:c r="AP124" s="60" t="n">
        <x:f>MAX($AG$10:$AG$209)</x:f>
        <x:v>4</x:v>
      </x:c>
      <x:c r="AQ124" t="str">
        <x:f>AG124</x:f>
      </x:c>
      <x:c r="AR124" t="n">
        <x:f>C124</x:f>
        <x:v>0</x:v>
      </x:c>
      <x:c r="AS124" t="n">
        <x:f>E124</x:f>
        <x:v>0</x:v>
      </x:c>
    </x:row>
    <x:row r="125">
      <x:c r="A125" s="60" t="str">
        <x:f>IF(C125="","",COUNTIF($C$10:C125,"&lt;&gt;"))</x:f>
      </x:c>
      <x:c r="B125" s="122" t="n"/>
      <x:c r="C125" s="87" t="n"/>
      <x:c r="D125" s="87" t="n"/>
      <x:c r="E125" s="87" t="n"/>
      <x:c r="F125" s="87" t="n"/>
      <x:c r="G125" s="87" t="n"/>
      <x:c r="H125" s="87" t="n"/>
      <x:c r="I125" s="87" t="n"/>
      <x:c r="J125" s="87" t="n"/>
      <x:c r="K125" s="87" t="n"/>
      <x:c r="L125" s="87" t="n"/>
      <x:c r="M125" s="87" t="n"/>
      <x:c r="N125" s="87" t="n"/>
      <x:c r="O125" s="62" t="str">
        <x:f>IF(G125="","",IF(G125="Single",AH125,IF(G125="Double",AI125,AJ125)))</x:f>
      </x:c>
      <x:c r="P125" s="62" t="str">
        <x:f>IF(OR(G125="",H125="Ikke spillet"),"",IF(G125="Single",O125,IF(J125="","",(O125+J125)/2)))</x:f>
      </x:c>
      <x:c r="Q125" s="62" t="str">
        <x:f>IF(OR(G125="",H125="Ikke spillet"),"",IF(G125="Single",L125,IF(OR(L125="",N125=""),"",(L125+N125)/2)))</x:f>
      </x:c>
      <x:c r="R125" s="62" t="str">
        <x:f>IF(OR(P125="",Q125=""),"",Q125-P125)</x:f>
      </x:c>
      <x:c r="S125" s="62" t="str">
        <x:f>IF(H125="Ikke spillet","",IF(R125="","",IF(ABS(R125)&lt;0.000001,"Lige (0)",VLOOKUP(ABS(R125),'BD Pointtabel'!$A$4:$G$15,2,TRUE))))</x:f>
      </x:c>
      <x:c r="T125" s="62" t="str">
        <x:f>IF(H125="Ikke spillet","Ikke spillet",IF(H125="Planlagt","Planlagt",IF(OR(H125="",P125="",Q125=""),"",IF(H125="Vundet",IF(R125&gt;0,"Uventet sejr","Ventet sejr"),IF(R125&gt;=0,"Ventet nederlag","Uventet nederlag")))))</x:f>
      </x:c>
      <x:c r="U125" s="62" t="str">
        <x:f>IF(OR(H125="Ikke spillet",H125="Planlagt"),"",IF(OR(G125="",H125="",P125="",Q125=""),"",IF(AND(F125="Ungdomsholdturnering",OR(G125="Double",G125="Mix"),H125="Tabt"),0,IF(H125="Vundet",IF(R125&gt;0,VLOOKUP(ABS(R125),'BD Pointtabel'!$A$4:$G$15,4,TRUE),VLOOKUP(ABS(R125),'BD Pointtabel'!$A$4:$G$15,7,TRUE)),IF(R125&gt;=0,VLOOKUP(ABS(R125),'BD Pointtabel'!$A$4:$G$15,6,TRUE),VLOOKUP(ABS(R125),'BD Pointtabel'!$A$4:$G$15,3,TRUE))))))</x:f>
      </x:c>
      <x:c r="V125" s="62" t="str">
        <x:f>IF(G125="","",SUMIFS($U$10:U125,$AG$10:AG125,AG125,$G$10:G125,G125))</x:f>
      </x:c>
      <x:c r="W125" s="62" t="str">
        <x:f>IF(C125="","",IF(AN125&lt;&gt;1,"",IF(G125="Single",AA125,IF(G125="Double",AC125,AE125))))</x:f>
      </x:c>
      <x:c r="X125" s="62" t="str">
        <x:f>IF(C125="","",IF(AN125&lt;&gt;1,"",ROUND(((AA125*AB125+AC125*AD125+AE125*AF125)/(AB125+AD125+AF125))+IF((MAX(AA125,AC125,AE125)-(AA125+AC125+AE125-MAX(AA125,AC125,AE125)-MIN(AA125,AC125,AE125)))&lt;'Model &amp; indstillinger'!$E$16,'Model &amp; indstillinger'!$E$18,'Model &amp; indstillinger'!$E$20)*(MAX(AA125,AC125,AE125)-((AA125*AB125+AC125*AD125+AE125*AF125)/(AB125+AD125+AF125))),0)))</x:f>
      </x:c>
      <x:c r="Y125" s="62" t="str">
        <x:f>IF(X125="","",'Model &amp; indstillinger'!$B$4-X125)</x:f>
      </x:c>
      <x:c r="Z125" s="62" t="str">
        <x:f>IF(C125="","",IF(H125="Planlagt","Planlagt – ingen point endnu",IF(H125="Ikke spillet","Ikke spillet – tæller ikke som kamp og giver ingen point",IF(AN125=1,"STÆVNE SLUT – samlet point tilskrives","Frosset pointgrundlag – ingen tilskrivning endnu"))))</x:f>
      </x:c>
      <x:c r="AA125" s="60" t="str">
        <x:f>IF(C125="","",'Model &amp; indstillinger'!$B$6+SUMIFS($U$10:U125,$G$10:G125,"Single"))</x:f>
      </x:c>
      <x:c r="AB125" s="60" t="str">
        <x:f>IF(C125="","",'Model &amp; indstillinger'!$B$7+COUNTIFS($G$10:G125,"Single",$AK$10:AK125,1))</x:f>
      </x:c>
      <x:c r="AC125" s="60" t="str">
        <x:f>IF(C125="","",'Model &amp; indstillinger'!$B$8+SUMIFS($U$10:U125,$G$10:G125,"Double"))</x:f>
      </x:c>
      <x:c r="AD125" s="60" t="str">
        <x:f>IF(C125="","",'Model &amp; indstillinger'!$B$9+COUNTIFS($G$10:G125,"Double",$AK$10:AK125,1))</x:f>
      </x:c>
      <x:c r="AE125" s="60" t="str">
        <x:f>IF(C125="","",'Model &amp; indstillinger'!$B$10+SUMIFS($U$10:U125,$G$10:G125,"Mix"))</x:f>
      </x:c>
      <x:c r="AF125" s="60" t="str">
        <x:f>IF(C125="","",'Model &amp; indstillinger'!$B$11+COUNTIFS($G$10:G125,"Mix",$AK$10:AK125,1))</x:f>
      </x:c>
      <x:c r="AG125" s="60" t="str">
        <x:f>IF(C125="","",IF(C125=C124,AG124,AG124+1))</x:f>
      </x:c>
      <x:c r="AH125" s="60" t="str">
        <x:f>IF(C125="","",IF(AG125=AG124,AH124,AA124))</x:f>
      </x:c>
      <x:c r="AI125" s="60" t="str">
        <x:f>IF(C125="","",IF(AG125=AG124,AI124,AC124))</x:f>
      </x:c>
      <x:c r="AJ125" s="60" t="str">
        <x:f>IF(C125="","",IF(AG125=AG124,AJ124,AE124))</x:f>
      </x:c>
      <x:c r="AK125" s="60" t="n">
        <x:f>IF(OR(H125="Vundet",H125="Tabt"),1,0)</x:f>
        <x:v>0</x:v>
      </x:c>
      <x:c r="AL125" s="60" t="n"/>
      <x:c r="AM125" s="60" t="n">
        <x:f>MAX($AG$10:$AG$209)</x:f>
        <x:v>4</x:v>
      </x:c>
      <x:c r="AN125" s="60" t="str">
        <x:f>IF(C125="","",IF(AND(C126&lt;&gt;"",C126&lt;&gt;C125),1,0))</x:f>
      </x:c>
      <x:c r="AO125" s="60" t="n"/>
      <x:c r="AP125" s="60" t="n">
        <x:f>MAX($AG$10:$AG$209)</x:f>
        <x:v>4</x:v>
      </x:c>
      <x:c r="AQ125" t="str">
        <x:f>AG125</x:f>
      </x:c>
      <x:c r="AR125" t="n">
        <x:f>C125</x:f>
        <x:v>0</x:v>
      </x:c>
      <x:c r="AS125" t="n">
        <x:f>E125</x:f>
        <x:v>0</x:v>
      </x:c>
    </x:row>
    <x:row r="126">
      <x:c r="A126" s="60" t="str">
        <x:f>IF(C126="","",COUNTIF($C$10:C126,"&lt;&gt;"))</x:f>
      </x:c>
      <x:c r="B126" s="122" t="n"/>
      <x:c r="C126" s="87" t="n"/>
      <x:c r="D126" s="87" t="n"/>
      <x:c r="E126" s="87" t="n"/>
      <x:c r="F126" s="87" t="n"/>
      <x:c r="G126" s="87" t="n"/>
      <x:c r="H126" s="87" t="n"/>
      <x:c r="I126" s="87" t="n"/>
      <x:c r="J126" s="87" t="n"/>
      <x:c r="K126" s="87" t="n"/>
      <x:c r="L126" s="87" t="n"/>
      <x:c r="M126" s="87" t="n"/>
      <x:c r="N126" s="87" t="n"/>
      <x:c r="O126" s="62" t="str">
        <x:f>IF(G126="","",IF(G126="Single",AH126,IF(G126="Double",AI126,AJ126)))</x:f>
      </x:c>
      <x:c r="P126" s="62" t="str">
        <x:f>IF(OR(G126="",H126="Ikke spillet"),"",IF(G126="Single",O126,IF(J126="","",(O126+J126)/2)))</x:f>
      </x:c>
      <x:c r="Q126" s="62" t="str">
        <x:f>IF(OR(G126="",H126="Ikke spillet"),"",IF(G126="Single",L126,IF(OR(L126="",N126=""),"",(L126+N126)/2)))</x:f>
      </x:c>
      <x:c r="R126" s="62" t="str">
        <x:f>IF(OR(P126="",Q126=""),"",Q126-P126)</x:f>
      </x:c>
      <x:c r="S126" s="62" t="str">
        <x:f>IF(H126="Ikke spillet","",IF(R126="","",IF(ABS(R126)&lt;0.000001,"Lige (0)",VLOOKUP(ABS(R126),'BD Pointtabel'!$A$4:$G$15,2,TRUE))))</x:f>
      </x:c>
      <x:c r="T126" s="62" t="str">
        <x:f>IF(H126="Ikke spillet","Ikke spillet",IF(H126="Planlagt","Planlagt",IF(OR(H126="",P126="",Q126=""),"",IF(H126="Vundet",IF(R126&gt;0,"Uventet sejr","Ventet sejr"),IF(R126&gt;=0,"Ventet nederlag","Uventet nederlag")))))</x:f>
      </x:c>
      <x:c r="U126" s="62" t="str">
        <x:f>IF(OR(H126="Ikke spillet",H126="Planlagt"),"",IF(OR(G126="",H126="",P126="",Q126=""),"",IF(AND(F126="Ungdomsholdturnering",OR(G126="Double",G126="Mix"),H126="Tabt"),0,IF(H126="Vundet",IF(R126&gt;0,VLOOKUP(ABS(R126),'BD Pointtabel'!$A$4:$G$15,4,TRUE),VLOOKUP(ABS(R126),'BD Pointtabel'!$A$4:$G$15,7,TRUE)),IF(R126&gt;=0,VLOOKUP(ABS(R126),'BD Pointtabel'!$A$4:$G$15,6,TRUE),VLOOKUP(ABS(R126),'BD Pointtabel'!$A$4:$G$15,3,TRUE))))))</x:f>
      </x:c>
      <x:c r="V126" s="62" t="str">
        <x:f>IF(G126="","",SUMIFS($U$10:U126,$AG$10:AG126,AG126,$G$10:G126,G126))</x:f>
      </x:c>
      <x:c r="W126" s="62" t="str">
        <x:f>IF(C126="","",IF(AN126&lt;&gt;1,"",IF(G126="Single",AA126,IF(G126="Double",AC126,AE126))))</x:f>
      </x:c>
      <x:c r="X126" s="62" t="str">
        <x:f>IF(C126="","",IF(AN126&lt;&gt;1,"",ROUND(((AA126*AB126+AC126*AD126+AE126*AF126)/(AB126+AD126+AF126))+IF((MAX(AA126,AC126,AE126)-(AA126+AC126+AE126-MAX(AA126,AC126,AE126)-MIN(AA126,AC126,AE126)))&lt;'Model &amp; indstillinger'!$E$16,'Model &amp; indstillinger'!$E$18,'Model &amp; indstillinger'!$E$20)*(MAX(AA126,AC126,AE126)-((AA126*AB126+AC126*AD126+AE126*AF126)/(AB126+AD126+AF126))),0)))</x:f>
      </x:c>
      <x:c r="Y126" s="62" t="str">
        <x:f>IF(X126="","",'Model &amp; indstillinger'!$B$4-X126)</x:f>
      </x:c>
      <x:c r="Z126" s="62" t="str">
        <x:f>IF(C126="","",IF(H126="Planlagt","Planlagt – ingen point endnu",IF(H126="Ikke spillet","Ikke spillet – tæller ikke som kamp og giver ingen point",IF(AN126=1,"STÆVNE SLUT – samlet point tilskrives","Frosset pointgrundlag – ingen tilskrivning endnu"))))</x:f>
      </x:c>
      <x:c r="AA126" s="60" t="str">
        <x:f>IF(C126="","",'Model &amp; indstillinger'!$B$6+SUMIFS($U$10:U126,$G$10:G126,"Single"))</x:f>
      </x:c>
      <x:c r="AB126" s="60" t="str">
        <x:f>IF(C126="","",'Model &amp; indstillinger'!$B$7+COUNTIFS($G$10:G126,"Single",$AK$10:AK126,1))</x:f>
      </x:c>
      <x:c r="AC126" s="60" t="str">
        <x:f>IF(C126="","",'Model &amp; indstillinger'!$B$8+SUMIFS($U$10:U126,$G$10:G126,"Double"))</x:f>
      </x:c>
      <x:c r="AD126" s="60" t="str">
        <x:f>IF(C126="","",'Model &amp; indstillinger'!$B$9+COUNTIFS($G$10:G126,"Double",$AK$10:AK126,1))</x:f>
      </x:c>
      <x:c r="AE126" s="60" t="str">
        <x:f>IF(C126="","",'Model &amp; indstillinger'!$B$10+SUMIFS($U$10:U126,$G$10:G126,"Mix"))</x:f>
      </x:c>
      <x:c r="AF126" s="60" t="str">
        <x:f>IF(C126="","",'Model &amp; indstillinger'!$B$11+COUNTIFS($G$10:G126,"Mix",$AK$10:AK126,1))</x:f>
      </x:c>
      <x:c r="AG126" s="60" t="str">
        <x:f>IF(C126="","",IF(C126=C125,AG125,AG125+1))</x:f>
      </x:c>
      <x:c r="AH126" s="60" t="str">
        <x:f>IF(C126="","",IF(AG126=AG125,AH125,AA125))</x:f>
      </x:c>
      <x:c r="AI126" s="60" t="str">
        <x:f>IF(C126="","",IF(AG126=AG125,AI125,AC125))</x:f>
      </x:c>
      <x:c r="AJ126" s="60" t="str">
        <x:f>IF(C126="","",IF(AG126=AG125,AJ125,AE125))</x:f>
      </x:c>
      <x:c r="AK126" s="60" t="n">
        <x:f>IF(OR(H126="Vundet",H126="Tabt"),1,0)</x:f>
        <x:v>0</x:v>
      </x:c>
      <x:c r="AL126" s="60" t="n"/>
      <x:c r="AM126" s="60" t="n">
        <x:f>MAX($AG$10:$AG$209)</x:f>
        <x:v>4</x:v>
      </x:c>
      <x:c r="AN126" s="60" t="str">
        <x:f>IF(C126="","",IF(AND(C127&lt;&gt;"",C127&lt;&gt;C126),1,0))</x:f>
      </x:c>
      <x:c r="AO126" s="60" t="n"/>
      <x:c r="AP126" s="60" t="n">
        <x:f>MAX($AG$10:$AG$209)</x:f>
        <x:v>4</x:v>
      </x:c>
      <x:c r="AQ126" t="str">
        <x:f>AG126</x:f>
      </x:c>
      <x:c r="AR126" t="n">
        <x:f>C126</x:f>
        <x:v>0</x:v>
      </x:c>
      <x:c r="AS126" t="n">
        <x:f>E126</x:f>
        <x:v>0</x:v>
      </x:c>
    </x:row>
    <x:row r="127">
      <x:c r="A127" s="60" t="str">
        <x:f>IF(C127="","",COUNTIF($C$10:C127,"&lt;&gt;"))</x:f>
      </x:c>
      <x:c r="B127" s="122" t="n"/>
      <x:c r="C127" s="87" t="n"/>
      <x:c r="D127" s="87" t="n"/>
      <x:c r="E127" s="87" t="n"/>
      <x:c r="F127" s="87" t="n"/>
      <x:c r="G127" s="87" t="n"/>
      <x:c r="H127" s="87" t="n"/>
      <x:c r="I127" s="87" t="n"/>
      <x:c r="J127" s="87" t="n"/>
      <x:c r="K127" s="87" t="n"/>
      <x:c r="L127" s="87" t="n"/>
      <x:c r="M127" s="87" t="n"/>
      <x:c r="N127" s="87" t="n"/>
      <x:c r="O127" s="62" t="str">
        <x:f>IF(G127="","",IF(G127="Single",AH127,IF(G127="Double",AI127,AJ127)))</x:f>
      </x:c>
      <x:c r="P127" s="62" t="str">
        <x:f>IF(OR(G127="",H127="Ikke spillet"),"",IF(G127="Single",O127,IF(J127="","",(O127+J127)/2)))</x:f>
      </x:c>
      <x:c r="Q127" s="62" t="str">
        <x:f>IF(OR(G127="",H127="Ikke spillet"),"",IF(G127="Single",L127,IF(OR(L127="",N127=""),"",(L127+N127)/2)))</x:f>
      </x:c>
      <x:c r="R127" s="62" t="str">
        <x:f>IF(OR(P127="",Q127=""),"",Q127-P127)</x:f>
      </x:c>
      <x:c r="S127" s="62" t="str">
        <x:f>IF(H127="Ikke spillet","",IF(R127="","",IF(ABS(R127)&lt;0.000001,"Lige (0)",VLOOKUP(ABS(R127),'BD Pointtabel'!$A$4:$G$15,2,TRUE))))</x:f>
      </x:c>
      <x:c r="T127" s="62" t="str">
        <x:f>IF(H127="Ikke spillet","Ikke spillet",IF(H127="Planlagt","Planlagt",IF(OR(H127="",P127="",Q127=""),"",IF(H127="Vundet",IF(R127&gt;0,"Uventet sejr","Ventet sejr"),IF(R127&gt;=0,"Ventet nederlag","Uventet nederlag")))))</x:f>
      </x:c>
      <x:c r="U127" s="62" t="str">
        <x:f>IF(OR(H127="Ikke spillet",H127="Planlagt"),"",IF(OR(G127="",H127="",P127="",Q127=""),"",IF(AND(F127="Ungdomsholdturnering",OR(G127="Double",G127="Mix"),H127="Tabt"),0,IF(H127="Vundet",IF(R127&gt;0,VLOOKUP(ABS(R127),'BD Pointtabel'!$A$4:$G$15,4,TRUE),VLOOKUP(ABS(R127),'BD Pointtabel'!$A$4:$G$15,7,TRUE)),IF(R127&gt;=0,VLOOKUP(ABS(R127),'BD Pointtabel'!$A$4:$G$15,6,TRUE),VLOOKUP(ABS(R127),'BD Pointtabel'!$A$4:$G$15,3,TRUE))))))</x:f>
      </x:c>
      <x:c r="V127" s="62" t="str">
        <x:f>IF(G127="","",SUMIFS($U$10:U127,$AG$10:AG127,AG127,$G$10:G127,G127))</x:f>
      </x:c>
      <x:c r="W127" s="62" t="str">
        <x:f>IF(C127="","",IF(AN127&lt;&gt;1,"",IF(G127="Single",AA127,IF(G127="Double",AC127,AE127))))</x:f>
      </x:c>
      <x:c r="X127" s="62" t="str">
        <x:f>IF(C127="","",IF(AN127&lt;&gt;1,"",ROUND(((AA127*AB127+AC127*AD127+AE127*AF127)/(AB127+AD127+AF127))+IF((MAX(AA127,AC127,AE127)-(AA127+AC127+AE127-MAX(AA127,AC127,AE127)-MIN(AA127,AC127,AE127)))&lt;'Model &amp; indstillinger'!$E$16,'Model &amp; indstillinger'!$E$18,'Model &amp; indstillinger'!$E$20)*(MAX(AA127,AC127,AE127)-((AA127*AB127+AC127*AD127+AE127*AF127)/(AB127+AD127+AF127))),0)))</x:f>
      </x:c>
      <x:c r="Y127" s="62" t="str">
        <x:f>IF(X127="","",'Model &amp; indstillinger'!$B$4-X127)</x:f>
      </x:c>
      <x:c r="Z127" s="62" t="str">
        <x:f>IF(C127="","",IF(H127="Planlagt","Planlagt – ingen point endnu",IF(H127="Ikke spillet","Ikke spillet – tæller ikke som kamp og giver ingen point",IF(AN127=1,"STÆVNE SLUT – samlet point tilskrives","Frosset pointgrundlag – ingen tilskrivning endnu"))))</x:f>
      </x:c>
      <x:c r="AA127" s="60" t="str">
        <x:f>IF(C127="","",'Model &amp; indstillinger'!$B$6+SUMIFS($U$10:U127,$G$10:G127,"Single"))</x:f>
      </x:c>
      <x:c r="AB127" s="60" t="str">
        <x:f>IF(C127="","",'Model &amp; indstillinger'!$B$7+COUNTIFS($G$10:G127,"Single",$AK$10:AK127,1))</x:f>
      </x:c>
      <x:c r="AC127" s="60" t="str">
        <x:f>IF(C127="","",'Model &amp; indstillinger'!$B$8+SUMIFS($U$10:U127,$G$10:G127,"Double"))</x:f>
      </x:c>
      <x:c r="AD127" s="60" t="str">
        <x:f>IF(C127="","",'Model &amp; indstillinger'!$B$9+COUNTIFS($G$10:G127,"Double",$AK$10:AK127,1))</x:f>
      </x:c>
      <x:c r="AE127" s="60" t="str">
        <x:f>IF(C127="","",'Model &amp; indstillinger'!$B$10+SUMIFS($U$10:U127,$G$10:G127,"Mix"))</x:f>
      </x:c>
      <x:c r="AF127" s="60" t="str">
        <x:f>IF(C127="","",'Model &amp; indstillinger'!$B$11+COUNTIFS($G$10:G127,"Mix",$AK$10:AK127,1))</x:f>
      </x:c>
      <x:c r="AG127" s="60" t="str">
        <x:f>IF(C127="","",IF(C127=C126,AG126,AG126+1))</x:f>
      </x:c>
      <x:c r="AH127" s="60" t="str">
        <x:f>IF(C127="","",IF(AG127=AG126,AH126,AA126))</x:f>
      </x:c>
      <x:c r="AI127" s="60" t="str">
        <x:f>IF(C127="","",IF(AG127=AG126,AI126,AC126))</x:f>
      </x:c>
      <x:c r="AJ127" s="60" t="str">
        <x:f>IF(C127="","",IF(AG127=AG126,AJ126,AE126))</x:f>
      </x:c>
      <x:c r="AK127" s="60" t="n">
        <x:f>IF(OR(H127="Vundet",H127="Tabt"),1,0)</x:f>
        <x:v>0</x:v>
      </x:c>
      <x:c r="AL127" s="60" t="n"/>
      <x:c r="AM127" s="60" t="n">
        <x:f>MAX($AG$10:$AG$209)</x:f>
        <x:v>4</x:v>
      </x:c>
      <x:c r="AN127" s="60" t="str">
        <x:f>IF(C127="","",IF(AND(C128&lt;&gt;"",C128&lt;&gt;C127),1,0))</x:f>
      </x:c>
      <x:c r="AO127" s="60" t="n"/>
      <x:c r="AP127" s="60" t="n">
        <x:f>MAX($AG$10:$AG$209)</x:f>
        <x:v>4</x:v>
      </x:c>
      <x:c r="AQ127" t="str">
        <x:f>AG127</x:f>
      </x:c>
      <x:c r="AR127" t="n">
        <x:f>C127</x:f>
        <x:v>0</x:v>
      </x:c>
      <x:c r="AS127" t="n">
        <x:f>E127</x:f>
        <x:v>0</x:v>
      </x:c>
    </x:row>
    <x:row r="128">
      <x:c r="A128" s="60" t="str">
        <x:f>IF(C128="","",COUNTIF($C$10:C128,"&lt;&gt;"))</x:f>
      </x:c>
      <x:c r="B128" s="122" t="n"/>
      <x:c r="C128" s="87" t="n"/>
      <x:c r="D128" s="87" t="n"/>
      <x:c r="E128" s="87" t="n"/>
      <x:c r="F128" s="87" t="n"/>
      <x:c r="G128" s="87" t="n"/>
      <x:c r="H128" s="87" t="n"/>
      <x:c r="I128" s="87" t="n"/>
      <x:c r="J128" s="87" t="n"/>
      <x:c r="K128" s="87" t="n"/>
      <x:c r="L128" s="87" t="n"/>
      <x:c r="M128" s="87" t="n"/>
      <x:c r="N128" s="87" t="n"/>
      <x:c r="O128" s="62" t="str">
        <x:f>IF(G128="","",IF(G128="Single",AH128,IF(G128="Double",AI128,AJ128)))</x:f>
      </x:c>
      <x:c r="P128" s="62" t="str">
        <x:f>IF(OR(G128="",H128="Ikke spillet"),"",IF(G128="Single",O128,IF(J128="","",(O128+J128)/2)))</x:f>
      </x:c>
      <x:c r="Q128" s="62" t="str">
        <x:f>IF(OR(G128="",H128="Ikke spillet"),"",IF(G128="Single",L128,IF(OR(L128="",N128=""),"",(L128+N128)/2)))</x:f>
      </x:c>
      <x:c r="R128" s="62" t="str">
        <x:f>IF(OR(P128="",Q128=""),"",Q128-P128)</x:f>
      </x:c>
      <x:c r="S128" s="62" t="str">
        <x:f>IF(H128="Ikke spillet","",IF(R128="","",IF(ABS(R128)&lt;0.000001,"Lige (0)",VLOOKUP(ABS(R128),'BD Pointtabel'!$A$4:$G$15,2,TRUE))))</x:f>
      </x:c>
      <x:c r="T128" s="62" t="str">
        <x:f>IF(H128="Ikke spillet","Ikke spillet",IF(H128="Planlagt","Planlagt",IF(OR(H128="",P128="",Q128=""),"",IF(H128="Vundet",IF(R128&gt;0,"Uventet sejr","Ventet sejr"),IF(R128&gt;=0,"Ventet nederlag","Uventet nederlag")))))</x:f>
      </x:c>
      <x:c r="U128" s="62" t="str">
        <x:f>IF(OR(H128="Ikke spillet",H128="Planlagt"),"",IF(OR(G128="",H128="",P128="",Q128=""),"",IF(AND(F128="Ungdomsholdturnering",OR(G128="Double",G128="Mix"),H128="Tabt"),0,IF(H128="Vundet",IF(R128&gt;0,VLOOKUP(ABS(R128),'BD Pointtabel'!$A$4:$G$15,4,TRUE),VLOOKUP(ABS(R128),'BD Pointtabel'!$A$4:$G$15,7,TRUE)),IF(R128&gt;=0,VLOOKUP(ABS(R128),'BD Pointtabel'!$A$4:$G$15,6,TRUE),VLOOKUP(ABS(R128),'BD Pointtabel'!$A$4:$G$15,3,TRUE))))))</x:f>
      </x:c>
      <x:c r="V128" s="62" t="str">
        <x:f>IF(G128="","",SUMIFS($U$10:U128,$AG$10:AG128,AG128,$G$10:G128,G128))</x:f>
      </x:c>
      <x:c r="W128" s="62" t="str">
        <x:f>IF(C128="","",IF(AN128&lt;&gt;1,"",IF(G128="Single",AA128,IF(G128="Double",AC128,AE128))))</x:f>
      </x:c>
      <x:c r="X128" s="62" t="str">
        <x:f>IF(C128="","",IF(AN128&lt;&gt;1,"",ROUND(((AA128*AB128+AC128*AD128+AE128*AF128)/(AB128+AD128+AF128))+IF((MAX(AA128,AC128,AE128)-(AA128+AC128+AE128-MAX(AA128,AC128,AE128)-MIN(AA128,AC128,AE128)))&lt;'Model &amp; indstillinger'!$E$16,'Model &amp; indstillinger'!$E$18,'Model &amp; indstillinger'!$E$20)*(MAX(AA128,AC128,AE128)-((AA128*AB128+AC128*AD128+AE128*AF128)/(AB128+AD128+AF128))),0)))</x:f>
      </x:c>
      <x:c r="Y128" s="62" t="str">
        <x:f>IF(X128="","",'Model &amp; indstillinger'!$B$4-X128)</x:f>
      </x:c>
      <x:c r="Z128" s="62" t="str">
        <x:f>IF(C128="","",IF(H128="Planlagt","Planlagt – ingen point endnu",IF(H128="Ikke spillet","Ikke spillet – tæller ikke som kamp og giver ingen point",IF(AN128=1,"STÆVNE SLUT – samlet point tilskrives","Frosset pointgrundlag – ingen tilskrivning endnu"))))</x:f>
      </x:c>
      <x:c r="AA128" s="60" t="str">
        <x:f>IF(C128="","",'Model &amp; indstillinger'!$B$6+SUMIFS($U$10:U128,$G$10:G128,"Single"))</x:f>
      </x:c>
      <x:c r="AB128" s="60" t="str">
        <x:f>IF(C128="","",'Model &amp; indstillinger'!$B$7+COUNTIFS($G$10:G128,"Single",$AK$10:AK128,1))</x:f>
      </x:c>
      <x:c r="AC128" s="60" t="str">
        <x:f>IF(C128="","",'Model &amp; indstillinger'!$B$8+SUMIFS($U$10:U128,$G$10:G128,"Double"))</x:f>
      </x:c>
      <x:c r="AD128" s="60" t="str">
        <x:f>IF(C128="","",'Model &amp; indstillinger'!$B$9+COUNTIFS($G$10:G128,"Double",$AK$10:AK128,1))</x:f>
      </x:c>
      <x:c r="AE128" s="60" t="str">
        <x:f>IF(C128="","",'Model &amp; indstillinger'!$B$10+SUMIFS($U$10:U128,$G$10:G128,"Mix"))</x:f>
      </x:c>
      <x:c r="AF128" s="60" t="str">
        <x:f>IF(C128="","",'Model &amp; indstillinger'!$B$11+COUNTIFS($G$10:G128,"Mix",$AK$10:AK128,1))</x:f>
      </x:c>
      <x:c r="AG128" s="60" t="str">
        <x:f>IF(C128="","",IF(C128=C127,AG127,AG127+1))</x:f>
      </x:c>
      <x:c r="AH128" s="60" t="str">
        <x:f>IF(C128="","",IF(AG128=AG127,AH127,AA127))</x:f>
      </x:c>
      <x:c r="AI128" s="60" t="str">
        <x:f>IF(C128="","",IF(AG128=AG127,AI127,AC127))</x:f>
      </x:c>
      <x:c r="AJ128" s="60" t="str">
        <x:f>IF(C128="","",IF(AG128=AG127,AJ127,AE127))</x:f>
      </x:c>
      <x:c r="AK128" s="60" t="n">
        <x:f>IF(OR(H128="Vundet",H128="Tabt"),1,0)</x:f>
        <x:v>0</x:v>
      </x:c>
      <x:c r="AL128" s="60" t="n"/>
      <x:c r="AM128" s="60" t="n">
        <x:f>MAX($AG$10:$AG$209)</x:f>
        <x:v>4</x:v>
      </x:c>
      <x:c r="AN128" s="60" t="str">
        <x:f>IF(C128="","",IF(AND(C129&lt;&gt;"",C129&lt;&gt;C128),1,0))</x:f>
      </x:c>
      <x:c r="AO128" s="60" t="n"/>
      <x:c r="AP128" s="60" t="n">
        <x:f>MAX($AG$10:$AG$209)</x:f>
        <x:v>4</x:v>
      </x:c>
      <x:c r="AQ128" t="str">
        <x:f>AG128</x:f>
      </x:c>
      <x:c r="AR128" t="n">
        <x:f>C128</x:f>
        <x:v>0</x:v>
      </x:c>
      <x:c r="AS128" t="n">
        <x:f>E128</x:f>
        <x:v>0</x:v>
      </x:c>
    </x:row>
    <x:row r="129">
      <x:c r="A129" s="60" t="str">
        <x:f>IF(C129="","",COUNTIF($C$10:C129,"&lt;&gt;"))</x:f>
      </x:c>
      <x:c r="B129" s="122" t="n"/>
      <x:c r="C129" s="87" t="n"/>
      <x:c r="D129" s="87" t="n"/>
      <x:c r="E129" s="87" t="n"/>
      <x:c r="F129" s="87" t="n"/>
      <x:c r="G129" s="87" t="n"/>
      <x:c r="H129" s="87" t="n"/>
      <x:c r="I129" s="87" t="n"/>
      <x:c r="J129" s="87" t="n"/>
      <x:c r="K129" s="87" t="n"/>
      <x:c r="L129" s="87" t="n"/>
      <x:c r="M129" s="87" t="n"/>
      <x:c r="N129" s="87" t="n"/>
      <x:c r="O129" s="62" t="str">
        <x:f>IF(G129="","",IF(G129="Single",AH129,IF(G129="Double",AI129,AJ129)))</x:f>
      </x:c>
      <x:c r="P129" s="62" t="str">
        <x:f>IF(OR(G129="",H129="Ikke spillet"),"",IF(G129="Single",O129,IF(J129="","",(O129+J129)/2)))</x:f>
      </x:c>
      <x:c r="Q129" s="62" t="str">
        <x:f>IF(OR(G129="",H129="Ikke spillet"),"",IF(G129="Single",L129,IF(OR(L129="",N129=""),"",(L129+N129)/2)))</x:f>
      </x:c>
      <x:c r="R129" s="62" t="str">
        <x:f>IF(OR(P129="",Q129=""),"",Q129-P129)</x:f>
      </x:c>
      <x:c r="S129" s="62" t="str">
        <x:f>IF(H129="Ikke spillet","",IF(R129="","",IF(ABS(R129)&lt;0.000001,"Lige (0)",VLOOKUP(ABS(R129),'BD Pointtabel'!$A$4:$G$15,2,TRUE))))</x:f>
      </x:c>
      <x:c r="T129" s="62" t="str">
        <x:f>IF(H129="Ikke spillet","Ikke spillet",IF(H129="Planlagt","Planlagt",IF(OR(H129="",P129="",Q129=""),"",IF(H129="Vundet",IF(R129&gt;0,"Uventet sejr","Ventet sejr"),IF(R129&gt;=0,"Ventet nederlag","Uventet nederlag")))))</x:f>
      </x:c>
      <x:c r="U129" s="62" t="str">
        <x:f>IF(OR(H129="Ikke spillet",H129="Planlagt"),"",IF(OR(G129="",H129="",P129="",Q129=""),"",IF(AND(F129="Ungdomsholdturnering",OR(G129="Double",G129="Mix"),H129="Tabt"),0,IF(H129="Vundet",IF(R129&gt;0,VLOOKUP(ABS(R129),'BD Pointtabel'!$A$4:$G$15,4,TRUE),VLOOKUP(ABS(R129),'BD Pointtabel'!$A$4:$G$15,7,TRUE)),IF(R129&gt;=0,VLOOKUP(ABS(R129),'BD Pointtabel'!$A$4:$G$15,6,TRUE),VLOOKUP(ABS(R129),'BD Pointtabel'!$A$4:$G$15,3,TRUE))))))</x:f>
      </x:c>
      <x:c r="V129" s="62" t="str">
        <x:f>IF(G129="","",SUMIFS($U$10:U129,$AG$10:AG129,AG129,$G$10:G129,G129))</x:f>
      </x:c>
      <x:c r="W129" s="62" t="str">
        <x:f>IF(C129="","",IF(AN129&lt;&gt;1,"",IF(G129="Single",AA129,IF(G129="Double",AC129,AE129))))</x:f>
      </x:c>
      <x:c r="X129" s="62" t="str">
        <x:f>IF(C129="","",IF(AN129&lt;&gt;1,"",ROUND(((AA129*AB129+AC129*AD129+AE129*AF129)/(AB129+AD129+AF129))+IF((MAX(AA129,AC129,AE129)-(AA129+AC129+AE129-MAX(AA129,AC129,AE129)-MIN(AA129,AC129,AE129)))&lt;'Model &amp; indstillinger'!$E$16,'Model &amp; indstillinger'!$E$18,'Model &amp; indstillinger'!$E$20)*(MAX(AA129,AC129,AE129)-((AA129*AB129+AC129*AD129+AE129*AF129)/(AB129+AD129+AF129))),0)))</x:f>
      </x:c>
      <x:c r="Y129" s="62" t="str">
        <x:f>IF(X129="","",'Model &amp; indstillinger'!$B$4-X129)</x:f>
      </x:c>
      <x:c r="Z129" s="62" t="str">
        <x:f>IF(C129="","",IF(H129="Planlagt","Planlagt – ingen point endnu",IF(H129="Ikke spillet","Ikke spillet – tæller ikke som kamp og giver ingen point",IF(AN129=1,"STÆVNE SLUT – samlet point tilskrives","Frosset pointgrundlag – ingen tilskrivning endnu"))))</x:f>
      </x:c>
      <x:c r="AA129" s="60" t="str">
        <x:f>IF(C129="","",'Model &amp; indstillinger'!$B$6+SUMIFS($U$10:U129,$G$10:G129,"Single"))</x:f>
      </x:c>
      <x:c r="AB129" s="60" t="str">
        <x:f>IF(C129="","",'Model &amp; indstillinger'!$B$7+COUNTIFS($G$10:G129,"Single",$AK$10:AK129,1))</x:f>
      </x:c>
      <x:c r="AC129" s="60" t="str">
        <x:f>IF(C129="","",'Model &amp; indstillinger'!$B$8+SUMIFS($U$10:U129,$G$10:G129,"Double"))</x:f>
      </x:c>
      <x:c r="AD129" s="60" t="str">
        <x:f>IF(C129="","",'Model &amp; indstillinger'!$B$9+COUNTIFS($G$10:G129,"Double",$AK$10:AK129,1))</x:f>
      </x:c>
      <x:c r="AE129" s="60" t="str">
        <x:f>IF(C129="","",'Model &amp; indstillinger'!$B$10+SUMIFS($U$10:U129,$G$10:G129,"Mix"))</x:f>
      </x:c>
      <x:c r="AF129" s="60" t="str">
        <x:f>IF(C129="","",'Model &amp; indstillinger'!$B$11+COUNTIFS($G$10:G129,"Mix",$AK$10:AK129,1))</x:f>
      </x:c>
      <x:c r="AG129" s="60" t="str">
        <x:f>IF(C129="","",IF(C129=C128,AG128,AG128+1))</x:f>
      </x:c>
      <x:c r="AH129" s="60" t="str">
        <x:f>IF(C129="","",IF(AG129=AG128,AH128,AA128))</x:f>
      </x:c>
      <x:c r="AI129" s="60" t="str">
        <x:f>IF(C129="","",IF(AG129=AG128,AI128,AC128))</x:f>
      </x:c>
      <x:c r="AJ129" s="60" t="str">
        <x:f>IF(C129="","",IF(AG129=AG128,AJ128,AE128))</x:f>
      </x:c>
      <x:c r="AK129" s="60" t="n">
        <x:f>IF(OR(H129="Vundet",H129="Tabt"),1,0)</x:f>
        <x:v>0</x:v>
      </x:c>
      <x:c r="AL129" s="60" t="n"/>
      <x:c r="AM129" s="60" t="n">
        <x:f>MAX($AG$10:$AG$209)</x:f>
        <x:v>4</x:v>
      </x:c>
      <x:c r="AN129" s="60" t="str">
        <x:f>IF(C129="","",IF(AND(C130&lt;&gt;"",C130&lt;&gt;C129),1,0))</x:f>
      </x:c>
      <x:c r="AO129" s="60" t="n"/>
      <x:c r="AP129" s="60" t="n">
        <x:f>MAX($AG$10:$AG$209)</x:f>
        <x:v>4</x:v>
      </x:c>
      <x:c r="AQ129" t="str">
        <x:f>AG129</x:f>
      </x:c>
      <x:c r="AR129" t="n">
        <x:f>C129</x:f>
        <x:v>0</x:v>
      </x:c>
      <x:c r="AS129" t="n">
        <x:f>E129</x:f>
        <x:v>0</x:v>
      </x:c>
    </x:row>
    <x:row r="130">
      <x:c r="A130" s="60" t="str">
        <x:f>IF(C130="","",COUNTIF($C$10:C130,"&lt;&gt;"))</x:f>
      </x:c>
      <x:c r="B130" s="122" t="n"/>
      <x:c r="C130" s="87" t="n"/>
      <x:c r="D130" s="87" t="n"/>
      <x:c r="E130" s="87" t="n"/>
      <x:c r="F130" s="87" t="n"/>
      <x:c r="G130" s="87" t="n"/>
      <x:c r="H130" s="87" t="n"/>
      <x:c r="I130" s="87" t="n"/>
      <x:c r="J130" s="87" t="n"/>
      <x:c r="K130" s="87" t="n"/>
      <x:c r="L130" s="87" t="n"/>
      <x:c r="M130" s="87" t="n"/>
      <x:c r="N130" s="87" t="n"/>
      <x:c r="O130" s="62" t="str">
        <x:f>IF(G130="","",IF(G130="Single",AH130,IF(G130="Double",AI130,AJ130)))</x:f>
      </x:c>
      <x:c r="P130" s="62" t="str">
        <x:f>IF(OR(G130="",H130="Ikke spillet"),"",IF(G130="Single",O130,IF(J130="","",(O130+J130)/2)))</x:f>
      </x:c>
      <x:c r="Q130" s="62" t="str">
        <x:f>IF(OR(G130="",H130="Ikke spillet"),"",IF(G130="Single",L130,IF(OR(L130="",N130=""),"",(L130+N130)/2)))</x:f>
      </x:c>
      <x:c r="R130" s="62" t="str">
        <x:f>IF(OR(P130="",Q130=""),"",Q130-P130)</x:f>
      </x:c>
      <x:c r="S130" s="62" t="str">
        <x:f>IF(H130="Ikke spillet","",IF(R130="","",IF(ABS(R130)&lt;0.000001,"Lige (0)",VLOOKUP(ABS(R130),'BD Pointtabel'!$A$4:$G$15,2,TRUE))))</x:f>
      </x:c>
      <x:c r="T130" s="62" t="str">
        <x:f>IF(H130="Ikke spillet","Ikke spillet",IF(H130="Planlagt","Planlagt",IF(OR(H130="",P130="",Q130=""),"",IF(H130="Vundet",IF(R130&gt;0,"Uventet sejr","Ventet sejr"),IF(R130&gt;=0,"Ventet nederlag","Uventet nederlag")))))</x:f>
      </x:c>
      <x:c r="U130" s="62" t="str">
        <x:f>IF(OR(H130="Ikke spillet",H130="Planlagt"),"",IF(OR(G130="",H130="",P130="",Q130=""),"",IF(AND(F130="Ungdomsholdturnering",OR(G130="Double",G130="Mix"),H130="Tabt"),0,IF(H130="Vundet",IF(R130&gt;0,VLOOKUP(ABS(R130),'BD Pointtabel'!$A$4:$G$15,4,TRUE),VLOOKUP(ABS(R130),'BD Pointtabel'!$A$4:$G$15,7,TRUE)),IF(R130&gt;=0,VLOOKUP(ABS(R130),'BD Pointtabel'!$A$4:$G$15,6,TRUE),VLOOKUP(ABS(R130),'BD Pointtabel'!$A$4:$G$15,3,TRUE))))))</x:f>
      </x:c>
      <x:c r="V130" s="62" t="str">
        <x:f>IF(G130="","",SUMIFS($U$10:U130,$AG$10:AG130,AG130,$G$10:G130,G130))</x:f>
      </x:c>
      <x:c r="W130" s="62" t="str">
        <x:f>IF(C130="","",IF(AN130&lt;&gt;1,"",IF(G130="Single",AA130,IF(G130="Double",AC130,AE130))))</x:f>
      </x:c>
      <x:c r="X130" s="62" t="str">
        <x:f>IF(C130="","",IF(AN130&lt;&gt;1,"",ROUND(((AA130*AB130+AC130*AD130+AE130*AF130)/(AB130+AD130+AF130))+IF((MAX(AA130,AC130,AE130)-(AA130+AC130+AE130-MAX(AA130,AC130,AE130)-MIN(AA130,AC130,AE130)))&lt;'Model &amp; indstillinger'!$E$16,'Model &amp; indstillinger'!$E$18,'Model &amp; indstillinger'!$E$20)*(MAX(AA130,AC130,AE130)-((AA130*AB130+AC130*AD130+AE130*AF130)/(AB130+AD130+AF130))),0)))</x:f>
      </x:c>
      <x:c r="Y130" s="62" t="str">
        <x:f>IF(X130="","",'Model &amp; indstillinger'!$B$4-X130)</x:f>
      </x:c>
      <x:c r="Z130" s="62" t="str">
        <x:f>IF(C130="","",IF(H130="Planlagt","Planlagt – ingen point endnu",IF(H130="Ikke spillet","Ikke spillet – tæller ikke som kamp og giver ingen point",IF(AN130=1,"STÆVNE SLUT – samlet point tilskrives","Frosset pointgrundlag – ingen tilskrivning endnu"))))</x:f>
      </x:c>
      <x:c r="AA130" s="60" t="str">
        <x:f>IF(C130="","",'Model &amp; indstillinger'!$B$6+SUMIFS($U$10:U130,$G$10:G130,"Single"))</x:f>
      </x:c>
      <x:c r="AB130" s="60" t="str">
        <x:f>IF(C130="","",'Model &amp; indstillinger'!$B$7+COUNTIFS($G$10:G130,"Single",$AK$10:AK130,1))</x:f>
      </x:c>
      <x:c r="AC130" s="60" t="str">
        <x:f>IF(C130="","",'Model &amp; indstillinger'!$B$8+SUMIFS($U$10:U130,$G$10:G130,"Double"))</x:f>
      </x:c>
      <x:c r="AD130" s="60" t="str">
        <x:f>IF(C130="","",'Model &amp; indstillinger'!$B$9+COUNTIFS($G$10:G130,"Double",$AK$10:AK130,1))</x:f>
      </x:c>
      <x:c r="AE130" s="60" t="str">
        <x:f>IF(C130="","",'Model &amp; indstillinger'!$B$10+SUMIFS($U$10:U130,$G$10:G130,"Mix"))</x:f>
      </x:c>
      <x:c r="AF130" s="60" t="str">
        <x:f>IF(C130="","",'Model &amp; indstillinger'!$B$11+COUNTIFS($G$10:G130,"Mix",$AK$10:AK130,1))</x:f>
      </x:c>
      <x:c r="AG130" s="60" t="str">
        <x:f>IF(C130="","",IF(C130=C129,AG129,AG129+1))</x:f>
      </x:c>
      <x:c r="AH130" s="60" t="str">
        <x:f>IF(C130="","",IF(AG130=AG129,AH129,AA129))</x:f>
      </x:c>
      <x:c r="AI130" s="60" t="str">
        <x:f>IF(C130="","",IF(AG130=AG129,AI129,AC129))</x:f>
      </x:c>
      <x:c r="AJ130" s="60" t="str">
        <x:f>IF(C130="","",IF(AG130=AG129,AJ129,AE129))</x:f>
      </x:c>
      <x:c r="AK130" s="60" t="n">
        <x:f>IF(OR(H130="Vundet",H130="Tabt"),1,0)</x:f>
        <x:v>0</x:v>
      </x:c>
      <x:c r="AL130" s="60" t="n"/>
      <x:c r="AM130" s="60" t="n">
        <x:f>MAX($AG$10:$AG$209)</x:f>
        <x:v>4</x:v>
      </x:c>
      <x:c r="AN130" s="60" t="str">
        <x:f>IF(C130="","",IF(AND(C131&lt;&gt;"",C131&lt;&gt;C130),1,0))</x:f>
      </x:c>
      <x:c r="AO130" s="60" t="n"/>
      <x:c r="AP130" s="60" t="n">
        <x:f>MAX($AG$10:$AG$209)</x:f>
        <x:v>4</x:v>
      </x:c>
      <x:c r="AQ130" t="str">
        <x:f>AG130</x:f>
      </x:c>
      <x:c r="AR130" t="n">
        <x:f>C130</x:f>
        <x:v>0</x:v>
      </x:c>
      <x:c r="AS130" t="n">
        <x:f>E130</x:f>
        <x:v>0</x:v>
      </x:c>
    </x:row>
    <x:row r="131">
      <x:c r="A131" s="60" t="str">
        <x:f>IF(C131="","",COUNTIF($C$10:C131,"&lt;&gt;"))</x:f>
      </x:c>
      <x:c r="B131" s="122" t="n"/>
      <x:c r="C131" s="87" t="n"/>
      <x:c r="D131" s="87" t="n"/>
      <x:c r="E131" s="87" t="n"/>
      <x:c r="F131" s="87" t="n"/>
      <x:c r="G131" s="87" t="n"/>
      <x:c r="H131" s="87" t="n"/>
      <x:c r="I131" s="87" t="n"/>
      <x:c r="J131" s="87" t="n"/>
      <x:c r="K131" s="87" t="n"/>
      <x:c r="L131" s="87" t="n"/>
      <x:c r="M131" s="87" t="n"/>
      <x:c r="N131" s="87" t="n"/>
      <x:c r="O131" s="62" t="str">
        <x:f>IF(G131="","",IF(G131="Single",AH131,IF(G131="Double",AI131,AJ131)))</x:f>
      </x:c>
      <x:c r="P131" s="62" t="str">
        <x:f>IF(OR(G131="",H131="Ikke spillet"),"",IF(G131="Single",O131,IF(J131="","",(O131+J131)/2)))</x:f>
      </x:c>
      <x:c r="Q131" s="62" t="str">
        <x:f>IF(OR(G131="",H131="Ikke spillet"),"",IF(G131="Single",L131,IF(OR(L131="",N131=""),"",(L131+N131)/2)))</x:f>
      </x:c>
      <x:c r="R131" s="62" t="str">
        <x:f>IF(OR(P131="",Q131=""),"",Q131-P131)</x:f>
      </x:c>
      <x:c r="S131" s="62" t="str">
        <x:f>IF(H131="Ikke spillet","",IF(R131="","",IF(ABS(R131)&lt;0.000001,"Lige (0)",VLOOKUP(ABS(R131),'BD Pointtabel'!$A$4:$G$15,2,TRUE))))</x:f>
      </x:c>
      <x:c r="T131" s="62" t="str">
        <x:f>IF(H131="Ikke spillet","Ikke spillet",IF(H131="Planlagt","Planlagt",IF(OR(H131="",P131="",Q131=""),"",IF(H131="Vundet",IF(R131&gt;0,"Uventet sejr","Ventet sejr"),IF(R131&gt;=0,"Ventet nederlag","Uventet nederlag")))))</x:f>
      </x:c>
      <x:c r="U131" s="62" t="str">
        <x:f>IF(OR(H131="Ikke spillet",H131="Planlagt"),"",IF(OR(G131="",H131="",P131="",Q131=""),"",IF(AND(F131="Ungdomsholdturnering",OR(G131="Double",G131="Mix"),H131="Tabt"),0,IF(H131="Vundet",IF(R131&gt;0,VLOOKUP(ABS(R131),'BD Pointtabel'!$A$4:$G$15,4,TRUE),VLOOKUP(ABS(R131),'BD Pointtabel'!$A$4:$G$15,7,TRUE)),IF(R131&gt;=0,VLOOKUP(ABS(R131),'BD Pointtabel'!$A$4:$G$15,6,TRUE),VLOOKUP(ABS(R131),'BD Pointtabel'!$A$4:$G$15,3,TRUE))))))</x:f>
      </x:c>
      <x:c r="V131" s="62" t="str">
        <x:f>IF(G131="","",SUMIFS($U$10:U131,$AG$10:AG131,AG131,$G$10:G131,G131))</x:f>
      </x:c>
      <x:c r="W131" s="62" t="str">
        <x:f>IF(C131="","",IF(AN131&lt;&gt;1,"",IF(G131="Single",AA131,IF(G131="Double",AC131,AE131))))</x:f>
      </x:c>
      <x:c r="X131" s="62" t="str">
        <x:f>IF(C131="","",IF(AN131&lt;&gt;1,"",ROUND(((AA131*AB131+AC131*AD131+AE131*AF131)/(AB131+AD131+AF131))+IF((MAX(AA131,AC131,AE131)-(AA131+AC131+AE131-MAX(AA131,AC131,AE131)-MIN(AA131,AC131,AE131)))&lt;'Model &amp; indstillinger'!$E$16,'Model &amp; indstillinger'!$E$18,'Model &amp; indstillinger'!$E$20)*(MAX(AA131,AC131,AE131)-((AA131*AB131+AC131*AD131+AE131*AF131)/(AB131+AD131+AF131))),0)))</x:f>
      </x:c>
      <x:c r="Y131" s="62" t="str">
        <x:f>IF(X131="","",'Model &amp; indstillinger'!$B$4-X131)</x:f>
      </x:c>
      <x:c r="Z131" s="62" t="str">
        <x:f>IF(C131="","",IF(H131="Planlagt","Planlagt – ingen point endnu",IF(H131="Ikke spillet","Ikke spillet – tæller ikke som kamp og giver ingen point",IF(AN131=1,"STÆVNE SLUT – samlet point tilskrives","Frosset pointgrundlag – ingen tilskrivning endnu"))))</x:f>
      </x:c>
      <x:c r="AA131" s="60" t="str">
        <x:f>IF(C131="","",'Model &amp; indstillinger'!$B$6+SUMIFS($U$10:U131,$G$10:G131,"Single"))</x:f>
      </x:c>
      <x:c r="AB131" s="60" t="str">
        <x:f>IF(C131="","",'Model &amp; indstillinger'!$B$7+COUNTIFS($G$10:G131,"Single",$AK$10:AK131,1))</x:f>
      </x:c>
      <x:c r="AC131" s="60" t="str">
        <x:f>IF(C131="","",'Model &amp; indstillinger'!$B$8+SUMIFS($U$10:U131,$G$10:G131,"Double"))</x:f>
      </x:c>
      <x:c r="AD131" s="60" t="str">
        <x:f>IF(C131="","",'Model &amp; indstillinger'!$B$9+COUNTIFS($G$10:G131,"Double",$AK$10:AK131,1))</x:f>
      </x:c>
      <x:c r="AE131" s="60" t="str">
        <x:f>IF(C131="","",'Model &amp; indstillinger'!$B$10+SUMIFS($U$10:U131,$G$10:G131,"Mix"))</x:f>
      </x:c>
      <x:c r="AF131" s="60" t="str">
        <x:f>IF(C131="","",'Model &amp; indstillinger'!$B$11+COUNTIFS($G$10:G131,"Mix",$AK$10:AK131,1))</x:f>
      </x:c>
      <x:c r="AG131" s="60" t="str">
        <x:f>IF(C131="","",IF(C131=C130,AG130,AG130+1))</x:f>
      </x:c>
      <x:c r="AH131" s="60" t="str">
        <x:f>IF(C131="","",IF(AG131=AG130,AH130,AA130))</x:f>
      </x:c>
      <x:c r="AI131" s="60" t="str">
        <x:f>IF(C131="","",IF(AG131=AG130,AI130,AC130))</x:f>
      </x:c>
      <x:c r="AJ131" s="60" t="str">
        <x:f>IF(C131="","",IF(AG131=AG130,AJ130,AE130))</x:f>
      </x:c>
      <x:c r="AK131" s="60" t="n">
        <x:f>IF(OR(H131="Vundet",H131="Tabt"),1,0)</x:f>
        <x:v>0</x:v>
      </x:c>
      <x:c r="AL131" s="60" t="n"/>
      <x:c r="AM131" s="60" t="n">
        <x:f>MAX($AG$10:$AG$209)</x:f>
        <x:v>4</x:v>
      </x:c>
      <x:c r="AN131" s="60" t="str">
        <x:f>IF(C131="","",IF(AND(C132&lt;&gt;"",C132&lt;&gt;C131),1,0))</x:f>
      </x:c>
      <x:c r="AO131" s="60" t="n"/>
      <x:c r="AP131" s="60" t="n">
        <x:f>MAX($AG$10:$AG$209)</x:f>
        <x:v>4</x:v>
      </x:c>
      <x:c r="AQ131" t="str">
        <x:f>AG131</x:f>
      </x:c>
      <x:c r="AR131" t="n">
        <x:f>C131</x:f>
        <x:v>0</x:v>
      </x:c>
      <x:c r="AS131" t="n">
        <x:f>E131</x:f>
        <x:v>0</x:v>
      </x:c>
    </x:row>
    <x:row r="132">
      <x:c r="A132" s="60" t="str">
        <x:f>IF(C132="","",COUNTIF($C$10:C132,"&lt;&gt;"))</x:f>
      </x:c>
      <x:c r="B132" s="122" t="n"/>
      <x:c r="C132" s="87" t="n"/>
      <x:c r="D132" s="87" t="n"/>
      <x:c r="E132" s="87" t="n"/>
      <x:c r="F132" s="87" t="n"/>
      <x:c r="G132" s="87" t="n"/>
      <x:c r="H132" s="87" t="n"/>
      <x:c r="I132" s="87" t="n"/>
      <x:c r="J132" s="87" t="n"/>
      <x:c r="K132" s="87" t="n"/>
      <x:c r="L132" s="87" t="n"/>
      <x:c r="M132" s="87" t="n"/>
      <x:c r="N132" s="87" t="n"/>
      <x:c r="O132" s="62" t="str">
        <x:f>IF(G132="","",IF(G132="Single",AH132,IF(G132="Double",AI132,AJ132)))</x:f>
      </x:c>
      <x:c r="P132" s="62" t="str">
        <x:f>IF(OR(G132="",H132="Ikke spillet"),"",IF(G132="Single",O132,IF(J132="","",(O132+J132)/2)))</x:f>
      </x:c>
      <x:c r="Q132" s="62" t="str">
        <x:f>IF(OR(G132="",H132="Ikke spillet"),"",IF(G132="Single",L132,IF(OR(L132="",N132=""),"",(L132+N132)/2)))</x:f>
      </x:c>
      <x:c r="R132" s="62" t="str">
        <x:f>IF(OR(P132="",Q132=""),"",Q132-P132)</x:f>
      </x:c>
      <x:c r="S132" s="62" t="str">
        <x:f>IF(H132="Ikke spillet","",IF(R132="","",IF(ABS(R132)&lt;0.000001,"Lige (0)",VLOOKUP(ABS(R132),'BD Pointtabel'!$A$4:$G$15,2,TRUE))))</x:f>
      </x:c>
      <x:c r="T132" s="62" t="str">
        <x:f>IF(H132="Ikke spillet","Ikke spillet",IF(H132="Planlagt","Planlagt",IF(OR(H132="",P132="",Q132=""),"",IF(H132="Vundet",IF(R132&gt;0,"Uventet sejr","Ventet sejr"),IF(R132&gt;=0,"Ventet nederlag","Uventet nederlag")))))</x:f>
      </x:c>
      <x:c r="U132" s="62" t="str">
        <x:f>IF(OR(H132="Ikke spillet",H132="Planlagt"),"",IF(OR(G132="",H132="",P132="",Q132=""),"",IF(AND(F132="Ungdomsholdturnering",OR(G132="Double",G132="Mix"),H132="Tabt"),0,IF(H132="Vundet",IF(R132&gt;0,VLOOKUP(ABS(R132),'BD Pointtabel'!$A$4:$G$15,4,TRUE),VLOOKUP(ABS(R132),'BD Pointtabel'!$A$4:$G$15,7,TRUE)),IF(R132&gt;=0,VLOOKUP(ABS(R132),'BD Pointtabel'!$A$4:$G$15,6,TRUE),VLOOKUP(ABS(R132),'BD Pointtabel'!$A$4:$G$15,3,TRUE))))))</x:f>
      </x:c>
      <x:c r="V132" s="62" t="str">
        <x:f>IF(G132="","",SUMIFS($U$10:U132,$AG$10:AG132,AG132,$G$10:G132,G132))</x:f>
      </x:c>
      <x:c r="W132" s="62" t="str">
        <x:f>IF(C132="","",IF(AN132&lt;&gt;1,"",IF(G132="Single",AA132,IF(G132="Double",AC132,AE132))))</x:f>
      </x:c>
      <x:c r="X132" s="62" t="str">
        <x:f>IF(C132="","",IF(AN132&lt;&gt;1,"",ROUND(((AA132*AB132+AC132*AD132+AE132*AF132)/(AB132+AD132+AF132))+IF((MAX(AA132,AC132,AE132)-(AA132+AC132+AE132-MAX(AA132,AC132,AE132)-MIN(AA132,AC132,AE132)))&lt;'Model &amp; indstillinger'!$E$16,'Model &amp; indstillinger'!$E$18,'Model &amp; indstillinger'!$E$20)*(MAX(AA132,AC132,AE132)-((AA132*AB132+AC132*AD132+AE132*AF132)/(AB132+AD132+AF132))),0)))</x:f>
      </x:c>
      <x:c r="Y132" s="62" t="str">
        <x:f>IF(X132="","",'Model &amp; indstillinger'!$B$4-X132)</x:f>
      </x:c>
      <x:c r="Z132" s="62" t="str">
        <x:f>IF(C132="","",IF(H132="Planlagt","Planlagt – ingen point endnu",IF(H132="Ikke spillet","Ikke spillet – tæller ikke som kamp og giver ingen point",IF(AN132=1,"STÆVNE SLUT – samlet point tilskrives","Frosset pointgrundlag – ingen tilskrivning endnu"))))</x:f>
      </x:c>
      <x:c r="AA132" s="60" t="str">
        <x:f>IF(C132="","",'Model &amp; indstillinger'!$B$6+SUMIFS($U$10:U132,$G$10:G132,"Single"))</x:f>
      </x:c>
      <x:c r="AB132" s="60" t="str">
        <x:f>IF(C132="","",'Model &amp; indstillinger'!$B$7+COUNTIFS($G$10:G132,"Single",$AK$10:AK132,1))</x:f>
      </x:c>
      <x:c r="AC132" s="60" t="str">
        <x:f>IF(C132="","",'Model &amp; indstillinger'!$B$8+SUMIFS($U$10:U132,$G$10:G132,"Double"))</x:f>
      </x:c>
      <x:c r="AD132" s="60" t="str">
        <x:f>IF(C132="","",'Model &amp; indstillinger'!$B$9+COUNTIFS($G$10:G132,"Double",$AK$10:AK132,1))</x:f>
      </x:c>
      <x:c r="AE132" s="60" t="str">
        <x:f>IF(C132="","",'Model &amp; indstillinger'!$B$10+SUMIFS($U$10:U132,$G$10:G132,"Mix"))</x:f>
      </x:c>
      <x:c r="AF132" s="60" t="str">
        <x:f>IF(C132="","",'Model &amp; indstillinger'!$B$11+COUNTIFS($G$10:G132,"Mix",$AK$10:AK132,1))</x:f>
      </x:c>
      <x:c r="AG132" s="60" t="str">
        <x:f>IF(C132="","",IF(C132=C131,AG131,AG131+1))</x:f>
      </x:c>
      <x:c r="AH132" s="60" t="str">
        <x:f>IF(C132="","",IF(AG132=AG131,AH131,AA131))</x:f>
      </x:c>
      <x:c r="AI132" s="60" t="str">
        <x:f>IF(C132="","",IF(AG132=AG131,AI131,AC131))</x:f>
      </x:c>
      <x:c r="AJ132" s="60" t="str">
        <x:f>IF(C132="","",IF(AG132=AG131,AJ131,AE131))</x:f>
      </x:c>
      <x:c r="AK132" s="60" t="n">
        <x:f>IF(OR(H132="Vundet",H132="Tabt"),1,0)</x:f>
        <x:v>0</x:v>
      </x:c>
      <x:c r="AL132" s="60" t="n"/>
      <x:c r="AM132" s="60" t="n">
        <x:f>MAX($AG$10:$AG$209)</x:f>
        <x:v>4</x:v>
      </x:c>
      <x:c r="AN132" s="60" t="str">
        <x:f>IF(C132="","",IF(AND(C133&lt;&gt;"",C133&lt;&gt;C132),1,0))</x:f>
      </x:c>
      <x:c r="AO132" s="60" t="n"/>
      <x:c r="AP132" s="60" t="n">
        <x:f>MAX($AG$10:$AG$209)</x:f>
        <x:v>4</x:v>
      </x:c>
      <x:c r="AQ132" t="str">
        <x:f>AG132</x:f>
      </x:c>
      <x:c r="AR132" t="n">
        <x:f>C132</x:f>
        <x:v>0</x:v>
      </x:c>
      <x:c r="AS132" t="n">
        <x:f>E132</x:f>
        <x:v>0</x:v>
      </x:c>
    </x:row>
    <x:row r="133">
      <x:c r="A133" s="60" t="str">
        <x:f>IF(C133="","",COUNTIF($C$10:C133,"&lt;&gt;"))</x:f>
      </x:c>
      <x:c r="B133" s="122" t="n"/>
      <x:c r="C133" s="87" t="n"/>
      <x:c r="D133" s="87" t="n"/>
      <x:c r="E133" s="87" t="n"/>
      <x:c r="F133" s="87" t="n"/>
      <x:c r="G133" s="87" t="n"/>
      <x:c r="H133" s="87" t="n"/>
      <x:c r="I133" s="87" t="n"/>
      <x:c r="J133" s="87" t="n"/>
      <x:c r="K133" s="87" t="n"/>
      <x:c r="L133" s="87" t="n"/>
      <x:c r="M133" s="87" t="n"/>
      <x:c r="N133" s="87" t="n"/>
      <x:c r="O133" s="62" t="str">
        <x:f>IF(G133="","",IF(G133="Single",AH133,IF(G133="Double",AI133,AJ133)))</x:f>
      </x:c>
      <x:c r="P133" s="62" t="str">
        <x:f>IF(OR(G133="",H133="Ikke spillet"),"",IF(G133="Single",O133,IF(J133="","",(O133+J133)/2)))</x:f>
      </x:c>
      <x:c r="Q133" s="62" t="str">
        <x:f>IF(OR(G133="",H133="Ikke spillet"),"",IF(G133="Single",L133,IF(OR(L133="",N133=""),"",(L133+N133)/2)))</x:f>
      </x:c>
      <x:c r="R133" s="62" t="str">
        <x:f>IF(OR(P133="",Q133=""),"",Q133-P133)</x:f>
      </x:c>
      <x:c r="S133" s="62" t="str">
        <x:f>IF(H133="Ikke spillet","",IF(R133="","",IF(ABS(R133)&lt;0.000001,"Lige (0)",VLOOKUP(ABS(R133),'BD Pointtabel'!$A$4:$G$15,2,TRUE))))</x:f>
      </x:c>
      <x:c r="T133" s="62" t="str">
        <x:f>IF(H133="Ikke spillet","Ikke spillet",IF(H133="Planlagt","Planlagt",IF(OR(H133="",P133="",Q133=""),"",IF(H133="Vundet",IF(R133&gt;0,"Uventet sejr","Ventet sejr"),IF(R133&gt;=0,"Ventet nederlag","Uventet nederlag")))))</x:f>
      </x:c>
      <x:c r="U133" s="62" t="str">
        <x:f>IF(OR(H133="Ikke spillet",H133="Planlagt"),"",IF(OR(G133="",H133="",P133="",Q133=""),"",IF(AND(F133="Ungdomsholdturnering",OR(G133="Double",G133="Mix"),H133="Tabt"),0,IF(H133="Vundet",IF(R133&gt;0,VLOOKUP(ABS(R133),'BD Pointtabel'!$A$4:$G$15,4,TRUE),VLOOKUP(ABS(R133),'BD Pointtabel'!$A$4:$G$15,7,TRUE)),IF(R133&gt;=0,VLOOKUP(ABS(R133),'BD Pointtabel'!$A$4:$G$15,6,TRUE),VLOOKUP(ABS(R133),'BD Pointtabel'!$A$4:$G$15,3,TRUE))))))</x:f>
      </x:c>
      <x:c r="V133" s="62" t="str">
        <x:f>IF(G133="","",SUMIFS($U$10:U133,$AG$10:AG133,AG133,$G$10:G133,G133))</x:f>
      </x:c>
      <x:c r="W133" s="62" t="str">
        <x:f>IF(C133="","",IF(AN133&lt;&gt;1,"",IF(G133="Single",AA133,IF(G133="Double",AC133,AE133))))</x:f>
      </x:c>
      <x:c r="X133" s="62" t="str">
        <x:f>IF(C133="","",IF(AN133&lt;&gt;1,"",ROUND(((AA133*AB133+AC133*AD133+AE133*AF133)/(AB133+AD133+AF133))+IF((MAX(AA133,AC133,AE133)-(AA133+AC133+AE133-MAX(AA133,AC133,AE133)-MIN(AA133,AC133,AE133)))&lt;'Model &amp; indstillinger'!$E$16,'Model &amp; indstillinger'!$E$18,'Model &amp; indstillinger'!$E$20)*(MAX(AA133,AC133,AE133)-((AA133*AB133+AC133*AD133+AE133*AF133)/(AB133+AD133+AF133))),0)))</x:f>
      </x:c>
      <x:c r="Y133" s="62" t="str">
        <x:f>IF(X133="","",'Model &amp; indstillinger'!$B$4-X133)</x:f>
      </x:c>
      <x:c r="Z133" s="62" t="str">
        <x:f>IF(C133="","",IF(H133="Planlagt","Planlagt – ingen point endnu",IF(H133="Ikke spillet","Ikke spillet – tæller ikke som kamp og giver ingen point",IF(AN133=1,"STÆVNE SLUT – samlet point tilskrives","Frosset pointgrundlag – ingen tilskrivning endnu"))))</x:f>
      </x:c>
      <x:c r="AA133" s="60" t="str">
        <x:f>IF(C133="","",'Model &amp; indstillinger'!$B$6+SUMIFS($U$10:U133,$G$10:G133,"Single"))</x:f>
      </x:c>
      <x:c r="AB133" s="60" t="str">
        <x:f>IF(C133="","",'Model &amp; indstillinger'!$B$7+COUNTIFS($G$10:G133,"Single",$AK$10:AK133,1))</x:f>
      </x:c>
      <x:c r="AC133" s="60" t="str">
        <x:f>IF(C133="","",'Model &amp; indstillinger'!$B$8+SUMIFS($U$10:U133,$G$10:G133,"Double"))</x:f>
      </x:c>
      <x:c r="AD133" s="60" t="str">
        <x:f>IF(C133="","",'Model &amp; indstillinger'!$B$9+COUNTIFS($G$10:G133,"Double",$AK$10:AK133,1))</x:f>
      </x:c>
      <x:c r="AE133" s="60" t="str">
        <x:f>IF(C133="","",'Model &amp; indstillinger'!$B$10+SUMIFS($U$10:U133,$G$10:G133,"Mix"))</x:f>
      </x:c>
      <x:c r="AF133" s="60" t="str">
        <x:f>IF(C133="","",'Model &amp; indstillinger'!$B$11+COUNTIFS($G$10:G133,"Mix",$AK$10:AK133,1))</x:f>
      </x:c>
      <x:c r="AG133" s="60" t="str">
        <x:f>IF(C133="","",IF(C133=C132,AG132,AG132+1))</x:f>
      </x:c>
      <x:c r="AH133" s="60" t="str">
        <x:f>IF(C133="","",IF(AG133=AG132,AH132,AA132))</x:f>
      </x:c>
      <x:c r="AI133" s="60" t="str">
        <x:f>IF(C133="","",IF(AG133=AG132,AI132,AC132))</x:f>
      </x:c>
      <x:c r="AJ133" s="60" t="str">
        <x:f>IF(C133="","",IF(AG133=AG132,AJ132,AE132))</x:f>
      </x:c>
      <x:c r="AK133" s="60" t="n">
        <x:f>IF(OR(H133="Vundet",H133="Tabt"),1,0)</x:f>
        <x:v>0</x:v>
      </x:c>
      <x:c r="AL133" s="60" t="n"/>
      <x:c r="AM133" s="60" t="n">
        <x:f>MAX($AG$10:$AG$209)</x:f>
        <x:v>4</x:v>
      </x:c>
      <x:c r="AN133" s="60" t="str">
        <x:f>IF(C133="","",IF(AND(C134&lt;&gt;"",C134&lt;&gt;C133),1,0))</x:f>
      </x:c>
      <x:c r="AO133" s="60" t="n"/>
      <x:c r="AP133" s="60" t="n">
        <x:f>MAX($AG$10:$AG$209)</x:f>
        <x:v>4</x:v>
      </x:c>
      <x:c r="AQ133" t="str">
        <x:f>AG133</x:f>
      </x:c>
      <x:c r="AR133" t="n">
        <x:f>C133</x:f>
        <x:v>0</x:v>
      </x:c>
      <x:c r="AS133" t="n">
        <x:f>E133</x:f>
        <x:v>0</x:v>
      </x:c>
    </x:row>
    <x:row r="134">
      <x:c r="A134" s="60" t="str">
        <x:f>IF(C134="","",COUNTIF($C$10:C134,"&lt;&gt;"))</x:f>
      </x:c>
      <x:c r="B134" s="122" t="n"/>
      <x:c r="C134" s="87" t="n"/>
      <x:c r="D134" s="87" t="n"/>
      <x:c r="E134" s="87" t="n"/>
      <x:c r="F134" s="87" t="n"/>
      <x:c r="G134" s="87" t="n"/>
      <x:c r="H134" s="87" t="n"/>
      <x:c r="I134" s="87" t="n"/>
      <x:c r="J134" s="87" t="n"/>
      <x:c r="K134" s="87" t="n"/>
      <x:c r="L134" s="87" t="n"/>
      <x:c r="M134" s="87" t="n"/>
      <x:c r="N134" s="87" t="n"/>
      <x:c r="O134" s="62" t="str">
        <x:f>IF(G134="","",IF(G134="Single",AH134,IF(G134="Double",AI134,AJ134)))</x:f>
      </x:c>
      <x:c r="P134" s="62" t="str">
        <x:f>IF(OR(G134="",H134="Ikke spillet"),"",IF(G134="Single",O134,IF(J134="","",(O134+J134)/2)))</x:f>
      </x:c>
      <x:c r="Q134" s="62" t="str">
        <x:f>IF(OR(G134="",H134="Ikke spillet"),"",IF(G134="Single",L134,IF(OR(L134="",N134=""),"",(L134+N134)/2)))</x:f>
      </x:c>
      <x:c r="R134" s="62" t="str">
        <x:f>IF(OR(P134="",Q134=""),"",Q134-P134)</x:f>
      </x:c>
      <x:c r="S134" s="62" t="str">
        <x:f>IF(H134="Ikke spillet","",IF(R134="","",IF(ABS(R134)&lt;0.000001,"Lige (0)",VLOOKUP(ABS(R134),'BD Pointtabel'!$A$4:$G$15,2,TRUE))))</x:f>
      </x:c>
      <x:c r="T134" s="62" t="str">
        <x:f>IF(H134="Ikke spillet","Ikke spillet",IF(H134="Planlagt","Planlagt",IF(OR(H134="",P134="",Q134=""),"",IF(H134="Vundet",IF(R134&gt;0,"Uventet sejr","Ventet sejr"),IF(R134&gt;=0,"Ventet nederlag","Uventet nederlag")))))</x:f>
      </x:c>
      <x:c r="U134" s="62" t="str">
        <x:f>IF(OR(H134="Ikke spillet",H134="Planlagt"),"",IF(OR(G134="",H134="",P134="",Q134=""),"",IF(AND(F134="Ungdomsholdturnering",OR(G134="Double",G134="Mix"),H134="Tabt"),0,IF(H134="Vundet",IF(R134&gt;0,VLOOKUP(ABS(R134),'BD Pointtabel'!$A$4:$G$15,4,TRUE),VLOOKUP(ABS(R134),'BD Pointtabel'!$A$4:$G$15,7,TRUE)),IF(R134&gt;=0,VLOOKUP(ABS(R134),'BD Pointtabel'!$A$4:$G$15,6,TRUE),VLOOKUP(ABS(R134),'BD Pointtabel'!$A$4:$G$15,3,TRUE))))))</x:f>
      </x:c>
      <x:c r="V134" s="62" t="str">
        <x:f>IF(G134="","",SUMIFS($U$10:U134,$AG$10:AG134,AG134,$G$10:G134,G134))</x:f>
      </x:c>
      <x:c r="W134" s="62" t="str">
        <x:f>IF(C134="","",IF(AN134&lt;&gt;1,"",IF(G134="Single",AA134,IF(G134="Double",AC134,AE134))))</x:f>
      </x:c>
      <x:c r="X134" s="62" t="str">
        <x:f>IF(C134="","",IF(AN134&lt;&gt;1,"",ROUND(((AA134*AB134+AC134*AD134+AE134*AF134)/(AB134+AD134+AF134))+IF((MAX(AA134,AC134,AE134)-(AA134+AC134+AE134-MAX(AA134,AC134,AE134)-MIN(AA134,AC134,AE134)))&lt;'Model &amp; indstillinger'!$E$16,'Model &amp; indstillinger'!$E$18,'Model &amp; indstillinger'!$E$20)*(MAX(AA134,AC134,AE134)-((AA134*AB134+AC134*AD134+AE134*AF134)/(AB134+AD134+AF134))),0)))</x:f>
      </x:c>
      <x:c r="Y134" s="62" t="str">
        <x:f>IF(X134="","",'Model &amp; indstillinger'!$B$4-X134)</x:f>
      </x:c>
      <x:c r="Z134" s="62" t="str">
        <x:f>IF(C134="","",IF(H134="Planlagt","Planlagt – ingen point endnu",IF(H134="Ikke spillet","Ikke spillet – tæller ikke som kamp og giver ingen point",IF(AN134=1,"STÆVNE SLUT – samlet point tilskrives","Frosset pointgrundlag – ingen tilskrivning endnu"))))</x:f>
      </x:c>
      <x:c r="AA134" s="60" t="str">
        <x:f>IF(C134="","",'Model &amp; indstillinger'!$B$6+SUMIFS($U$10:U134,$G$10:G134,"Single"))</x:f>
      </x:c>
      <x:c r="AB134" s="60" t="str">
        <x:f>IF(C134="","",'Model &amp; indstillinger'!$B$7+COUNTIFS($G$10:G134,"Single",$AK$10:AK134,1))</x:f>
      </x:c>
      <x:c r="AC134" s="60" t="str">
        <x:f>IF(C134="","",'Model &amp; indstillinger'!$B$8+SUMIFS($U$10:U134,$G$10:G134,"Double"))</x:f>
      </x:c>
      <x:c r="AD134" s="60" t="str">
        <x:f>IF(C134="","",'Model &amp; indstillinger'!$B$9+COUNTIFS($G$10:G134,"Double",$AK$10:AK134,1))</x:f>
      </x:c>
      <x:c r="AE134" s="60" t="str">
        <x:f>IF(C134="","",'Model &amp; indstillinger'!$B$10+SUMIFS($U$10:U134,$G$10:G134,"Mix"))</x:f>
      </x:c>
      <x:c r="AF134" s="60" t="str">
        <x:f>IF(C134="","",'Model &amp; indstillinger'!$B$11+COUNTIFS($G$10:G134,"Mix",$AK$10:AK134,1))</x:f>
      </x:c>
      <x:c r="AG134" s="60" t="str">
        <x:f>IF(C134="","",IF(C134=C133,AG133,AG133+1))</x:f>
      </x:c>
      <x:c r="AH134" s="60" t="str">
        <x:f>IF(C134="","",IF(AG134=AG133,AH133,AA133))</x:f>
      </x:c>
      <x:c r="AI134" s="60" t="str">
        <x:f>IF(C134="","",IF(AG134=AG133,AI133,AC133))</x:f>
      </x:c>
      <x:c r="AJ134" s="60" t="str">
        <x:f>IF(C134="","",IF(AG134=AG133,AJ133,AE133))</x:f>
      </x:c>
      <x:c r="AK134" s="60" t="n">
        <x:f>IF(OR(H134="Vundet",H134="Tabt"),1,0)</x:f>
        <x:v>0</x:v>
      </x:c>
      <x:c r="AL134" s="60" t="n"/>
      <x:c r="AM134" s="60" t="n">
        <x:f>MAX($AG$10:$AG$209)</x:f>
        <x:v>4</x:v>
      </x:c>
      <x:c r="AN134" s="60" t="str">
        <x:f>IF(C134="","",IF(AND(C135&lt;&gt;"",C135&lt;&gt;C134),1,0))</x:f>
      </x:c>
      <x:c r="AO134" s="60" t="n"/>
      <x:c r="AP134" s="60" t="n">
        <x:f>MAX($AG$10:$AG$209)</x:f>
        <x:v>4</x:v>
      </x:c>
      <x:c r="AQ134" t="str">
        <x:f>AG134</x:f>
      </x:c>
      <x:c r="AR134" t="n">
        <x:f>C134</x:f>
        <x:v>0</x:v>
      </x:c>
      <x:c r="AS134" t="n">
        <x:f>E134</x:f>
        <x:v>0</x:v>
      </x:c>
    </x:row>
    <x:row r="135">
      <x:c r="A135" s="60" t="str">
        <x:f>IF(C135="","",COUNTIF($C$10:C135,"&lt;&gt;"))</x:f>
      </x:c>
      <x:c r="B135" s="122" t="n"/>
      <x:c r="C135" s="87" t="n"/>
      <x:c r="D135" s="87" t="n"/>
      <x:c r="E135" s="87" t="n"/>
      <x:c r="F135" s="87" t="n"/>
      <x:c r="G135" s="87" t="n"/>
      <x:c r="H135" s="87" t="n"/>
      <x:c r="I135" s="87" t="n"/>
      <x:c r="J135" s="87" t="n"/>
      <x:c r="K135" s="87" t="n"/>
      <x:c r="L135" s="87" t="n"/>
      <x:c r="M135" s="87" t="n"/>
      <x:c r="N135" s="87" t="n"/>
      <x:c r="O135" s="62" t="str">
        <x:f>IF(G135="","",IF(G135="Single",AH135,IF(G135="Double",AI135,AJ135)))</x:f>
      </x:c>
      <x:c r="P135" s="62" t="str">
        <x:f>IF(OR(G135="",H135="Ikke spillet"),"",IF(G135="Single",O135,IF(J135="","",(O135+J135)/2)))</x:f>
      </x:c>
      <x:c r="Q135" s="62" t="str">
        <x:f>IF(OR(G135="",H135="Ikke spillet"),"",IF(G135="Single",L135,IF(OR(L135="",N135=""),"",(L135+N135)/2)))</x:f>
      </x:c>
      <x:c r="R135" s="62" t="str">
        <x:f>IF(OR(P135="",Q135=""),"",Q135-P135)</x:f>
      </x:c>
      <x:c r="S135" s="62" t="str">
        <x:f>IF(H135="Ikke spillet","",IF(R135="","",IF(ABS(R135)&lt;0.000001,"Lige (0)",VLOOKUP(ABS(R135),'BD Pointtabel'!$A$4:$G$15,2,TRUE))))</x:f>
      </x:c>
      <x:c r="T135" s="62" t="str">
        <x:f>IF(H135="Ikke spillet","Ikke spillet",IF(H135="Planlagt","Planlagt",IF(OR(H135="",P135="",Q135=""),"",IF(H135="Vundet",IF(R135&gt;0,"Uventet sejr","Ventet sejr"),IF(R135&gt;=0,"Ventet nederlag","Uventet nederlag")))))</x:f>
      </x:c>
      <x:c r="U135" s="62" t="str">
        <x:f>IF(OR(H135="Ikke spillet",H135="Planlagt"),"",IF(OR(G135="",H135="",P135="",Q135=""),"",IF(AND(F135="Ungdomsholdturnering",OR(G135="Double",G135="Mix"),H135="Tabt"),0,IF(H135="Vundet",IF(R135&gt;0,VLOOKUP(ABS(R135),'BD Pointtabel'!$A$4:$G$15,4,TRUE),VLOOKUP(ABS(R135),'BD Pointtabel'!$A$4:$G$15,7,TRUE)),IF(R135&gt;=0,VLOOKUP(ABS(R135),'BD Pointtabel'!$A$4:$G$15,6,TRUE),VLOOKUP(ABS(R135),'BD Pointtabel'!$A$4:$G$15,3,TRUE))))))</x:f>
      </x:c>
      <x:c r="V135" s="62" t="str">
        <x:f>IF(G135="","",SUMIFS($U$10:U135,$AG$10:AG135,AG135,$G$10:G135,G135))</x:f>
      </x:c>
      <x:c r="W135" s="62" t="str">
        <x:f>IF(C135="","",IF(AN135&lt;&gt;1,"",IF(G135="Single",AA135,IF(G135="Double",AC135,AE135))))</x:f>
      </x:c>
      <x:c r="X135" s="62" t="str">
        <x:f>IF(C135="","",IF(AN135&lt;&gt;1,"",ROUND(((AA135*AB135+AC135*AD135+AE135*AF135)/(AB135+AD135+AF135))+IF((MAX(AA135,AC135,AE135)-(AA135+AC135+AE135-MAX(AA135,AC135,AE135)-MIN(AA135,AC135,AE135)))&lt;'Model &amp; indstillinger'!$E$16,'Model &amp; indstillinger'!$E$18,'Model &amp; indstillinger'!$E$20)*(MAX(AA135,AC135,AE135)-((AA135*AB135+AC135*AD135+AE135*AF135)/(AB135+AD135+AF135))),0)))</x:f>
      </x:c>
      <x:c r="Y135" s="62" t="str">
        <x:f>IF(X135="","",'Model &amp; indstillinger'!$B$4-X135)</x:f>
      </x:c>
      <x:c r="Z135" s="62" t="str">
        <x:f>IF(C135="","",IF(H135="Planlagt","Planlagt – ingen point endnu",IF(H135="Ikke spillet","Ikke spillet – tæller ikke som kamp og giver ingen point",IF(AN135=1,"STÆVNE SLUT – samlet point tilskrives","Frosset pointgrundlag – ingen tilskrivning endnu"))))</x:f>
      </x:c>
      <x:c r="AA135" s="60" t="str">
        <x:f>IF(C135="","",'Model &amp; indstillinger'!$B$6+SUMIFS($U$10:U135,$G$10:G135,"Single"))</x:f>
      </x:c>
      <x:c r="AB135" s="60" t="str">
        <x:f>IF(C135="","",'Model &amp; indstillinger'!$B$7+COUNTIFS($G$10:G135,"Single",$AK$10:AK135,1))</x:f>
      </x:c>
      <x:c r="AC135" s="60" t="str">
        <x:f>IF(C135="","",'Model &amp; indstillinger'!$B$8+SUMIFS($U$10:U135,$G$10:G135,"Double"))</x:f>
      </x:c>
      <x:c r="AD135" s="60" t="str">
        <x:f>IF(C135="","",'Model &amp; indstillinger'!$B$9+COUNTIFS($G$10:G135,"Double",$AK$10:AK135,1))</x:f>
      </x:c>
      <x:c r="AE135" s="60" t="str">
        <x:f>IF(C135="","",'Model &amp; indstillinger'!$B$10+SUMIFS($U$10:U135,$G$10:G135,"Mix"))</x:f>
      </x:c>
      <x:c r="AF135" s="60" t="str">
        <x:f>IF(C135="","",'Model &amp; indstillinger'!$B$11+COUNTIFS($G$10:G135,"Mix",$AK$10:AK135,1))</x:f>
      </x:c>
      <x:c r="AG135" s="60" t="str">
        <x:f>IF(C135="","",IF(C135=C134,AG134,AG134+1))</x:f>
      </x:c>
      <x:c r="AH135" s="60" t="str">
        <x:f>IF(C135="","",IF(AG135=AG134,AH134,AA134))</x:f>
      </x:c>
      <x:c r="AI135" s="60" t="str">
        <x:f>IF(C135="","",IF(AG135=AG134,AI134,AC134))</x:f>
      </x:c>
      <x:c r="AJ135" s="60" t="str">
        <x:f>IF(C135="","",IF(AG135=AG134,AJ134,AE134))</x:f>
      </x:c>
      <x:c r="AK135" s="60" t="n">
        <x:f>IF(OR(H135="Vundet",H135="Tabt"),1,0)</x:f>
        <x:v>0</x:v>
      </x:c>
      <x:c r="AL135" s="60" t="n"/>
      <x:c r="AM135" s="60" t="n">
        <x:f>MAX($AG$10:$AG$209)</x:f>
        <x:v>4</x:v>
      </x:c>
      <x:c r="AN135" s="60" t="str">
        <x:f>IF(C135="","",IF(AND(C136&lt;&gt;"",C136&lt;&gt;C135),1,0))</x:f>
      </x:c>
      <x:c r="AO135" s="60" t="n"/>
      <x:c r="AP135" s="60" t="n">
        <x:f>MAX($AG$10:$AG$209)</x:f>
        <x:v>4</x:v>
      </x:c>
      <x:c r="AQ135" t="str">
        <x:f>AG135</x:f>
      </x:c>
      <x:c r="AR135" t="n">
        <x:f>C135</x:f>
        <x:v>0</x:v>
      </x:c>
      <x:c r="AS135" t="n">
        <x:f>E135</x:f>
        <x:v>0</x:v>
      </x:c>
    </x:row>
    <x:row r="136">
      <x:c r="A136" s="60" t="str">
        <x:f>IF(C136="","",COUNTIF($C$10:C136,"&lt;&gt;"))</x:f>
      </x:c>
      <x:c r="B136" s="122" t="n"/>
      <x:c r="C136" s="87" t="n"/>
      <x:c r="D136" s="87" t="n"/>
      <x:c r="E136" s="87" t="n"/>
      <x:c r="F136" s="87" t="n"/>
      <x:c r="G136" s="87" t="n"/>
      <x:c r="H136" s="87" t="n"/>
      <x:c r="I136" s="87" t="n"/>
      <x:c r="J136" s="87" t="n"/>
      <x:c r="K136" s="87" t="n"/>
      <x:c r="L136" s="87" t="n"/>
      <x:c r="M136" s="87" t="n"/>
      <x:c r="N136" s="87" t="n"/>
      <x:c r="O136" s="62" t="str">
        <x:f>IF(G136="","",IF(G136="Single",AH136,IF(G136="Double",AI136,AJ136)))</x:f>
      </x:c>
      <x:c r="P136" s="62" t="str">
        <x:f>IF(OR(G136="",H136="Ikke spillet"),"",IF(G136="Single",O136,IF(J136="","",(O136+J136)/2)))</x:f>
      </x:c>
      <x:c r="Q136" s="62" t="str">
        <x:f>IF(OR(G136="",H136="Ikke spillet"),"",IF(G136="Single",L136,IF(OR(L136="",N136=""),"",(L136+N136)/2)))</x:f>
      </x:c>
      <x:c r="R136" s="62" t="str">
        <x:f>IF(OR(P136="",Q136=""),"",Q136-P136)</x:f>
      </x:c>
      <x:c r="S136" s="62" t="str">
        <x:f>IF(H136="Ikke spillet","",IF(R136="","",IF(ABS(R136)&lt;0.000001,"Lige (0)",VLOOKUP(ABS(R136),'BD Pointtabel'!$A$4:$G$15,2,TRUE))))</x:f>
      </x:c>
      <x:c r="T136" s="62" t="str">
        <x:f>IF(H136="Ikke spillet","Ikke spillet",IF(H136="Planlagt","Planlagt",IF(OR(H136="",P136="",Q136=""),"",IF(H136="Vundet",IF(R136&gt;0,"Uventet sejr","Ventet sejr"),IF(R136&gt;=0,"Ventet nederlag","Uventet nederlag")))))</x:f>
      </x:c>
      <x:c r="U136" s="62" t="str">
        <x:f>IF(OR(H136="Ikke spillet",H136="Planlagt"),"",IF(OR(G136="",H136="",P136="",Q136=""),"",IF(AND(F136="Ungdomsholdturnering",OR(G136="Double",G136="Mix"),H136="Tabt"),0,IF(H136="Vundet",IF(R136&gt;0,VLOOKUP(ABS(R136),'BD Pointtabel'!$A$4:$G$15,4,TRUE),VLOOKUP(ABS(R136),'BD Pointtabel'!$A$4:$G$15,7,TRUE)),IF(R136&gt;=0,VLOOKUP(ABS(R136),'BD Pointtabel'!$A$4:$G$15,6,TRUE),VLOOKUP(ABS(R136),'BD Pointtabel'!$A$4:$G$15,3,TRUE))))))</x:f>
      </x:c>
      <x:c r="V136" s="62" t="str">
        <x:f>IF(G136="","",SUMIFS($U$10:U136,$AG$10:AG136,AG136,$G$10:G136,G136))</x:f>
      </x:c>
      <x:c r="W136" s="62" t="str">
        <x:f>IF(C136="","",IF(AN136&lt;&gt;1,"",IF(G136="Single",AA136,IF(G136="Double",AC136,AE136))))</x:f>
      </x:c>
      <x:c r="X136" s="62" t="str">
        <x:f>IF(C136="","",IF(AN136&lt;&gt;1,"",ROUND(((AA136*AB136+AC136*AD136+AE136*AF136)/(AB136+AD136+AF136))+IF((MAX(AA136,AC136,AE136)-(AA136+AC136+AE136-MAX(AA136,AC136,AE136)-MIN(AA136,AC136,AE136)))&lt;'Model &amp; indstillinger'!$E$16,'Model &amp; indstillinger'!$E$18,'Model &amp; indstillinger'!$E$20)*(MAX(AA136,AC136,AE136)-((AA136*AB136+AC136*AD136+AE136*AF136)/(AB136+AD136+AF136))),0)))</x:f>
      </x:c>
      <x:c r="Y136" s="62" t="str">
        <x:f>IF(X136="","",'Model &amp; indstillinger'!$B$4-X136)</x:f>
      </x:c>
      <x:c r="Z136" s="62" t="str">
        <x:f>IF(C136="","",IF(H136="Planlagt","Planlagt – ingen point endnu",IF(H136="Ikke spillet","Ikke spillet – tæller ikke som kamp og giver ingen point",IF(AN136=1,"STÆVNE SLUT – samlet point tilskrives","Frosset pointgrundlag – ingen tilskrivning endnu"))))</x:f>
      </x:c>
      <x:c r="AA136" s="60" t="str">
        <x:f>IF(C136="","",'Model &amp; indstillinger'!$B$6+SUMIFS($U$10:U136,$G$10:G136,"Single"))</x:f>
      </x:c>
      <x:c r="AB136" s="60" t="str">
        <x:f>IF(C136="","",'Model &amp; indstillinger'!$B$7+COUNTIFS($G$10:G136,"Single",$AK$10:AK136,1))</x:f>
      </x:c>
      <x:c r="AC136" s="60" t="str">
        <x:f>IF(C136="","",'Model &amp; indstillinger'!$B$8+SUMIFS($U$10:U136,$G$10:G136,"Double"))</x:f>
      </x:c>
      <x:c r="AD136" s="60" t="str">
        <x:f>IF(C136="","",'Model &amp; indstillinger'!$B$9+COUNTIFS($G$10:G136,"Double",$AK$10:AK136,1))</x:f>
      </x:c>
      <x:c r="AE136" s="60" t="str">
        <x:f>IF(C136="","",'Model &amp; indstillinger'!$B$10+SUMIFS($U$10:U136,$G$10:G136,"Mix"))</x:f>
      </x:c>
      <x:c r="AF136" s="60" t="str">
        <x:f>IF(C136="","",'Model &amp; indstillinger'!$B$11+COUNTIFS($G$10:G136,"Mix",$AK$10:AK136,1))</x:f>
      </x:c>
      <x:c r="AG136" s="60" t="str">
        <x:f>IF(C136="","",IF(C136=C135,AG135,AG135+1))</x:f>
      </x:c>
      <x:c r="AH136" s="60" t="str">
        <x:f>IF(C136="","",IF(AG136=AG135,AH135,AA135))</x:f>
      </x:c>
      <x:c r="AI136" s="60" t="str">
        <x:f>IF(C136="","",IF(AG136=AG135,AI135,AC135))</x:f>
      </x:c>
      <x:c r="AJ136" s="60" t="str">
        <x:f>IF(C136="","",IF(AG136=AG135,AJ135,AE135))</x:f>
      </x:c>
      <x:c r="AK136" s="60" t="n">
        <x:f>IF(OR(H136="Vundet",H136="Tabt"),1,0)</x:f>
        <x:v>0</x:v>
      </x:c>
      <x:c r="AL136" s="60" t="n"/>
      <x:c r="AM136" s="60" t="n">
        <x:f>MAX($AG$10:$AG$209)</x:f>
        <x:v>4</x:v>
      </x:c>
      <x:c r="AN136" s="60" t="str">
        <x:f>IF(C136="","",IF(AND(C137&lt;&gt;"",C137&lt;&gt;C136),1,0))</x:f>
      </x:c>
      <x:c r="AO136" s="60" t="n"/>
      <x:c r="AP136" s="60" t="n">
        <x:f>MAX($AG$10:$AG$209)</x:f>
        <x:v>4</x:v>
      </x:c>
      <x:c r="AQ136" t="str">
        <x:f>AG136</x:f>
      </x:c>
      <x:c r="AR136" t="n">
        <x:f>C136</x:f>
        <x:v>0</x:v>
      </x:c>
      <x:c r="AS136" t="n">
        <x:f>E136</x:f>
        <x:v>0</x:v>
      </x:c>
    </x:row>
    <x:row r="137">
      <x:c r="A137" s="60" t="str">
        <x:f>IF(C137="","",COUNTIF($C$10:C137,"&lt;&gt;"))</x:f>
      </x:c>
      <x:c r="B137" s="122" t="n"/>
      <x:c r="C137" s="87" t="n"/>
      <x:c r="D137" s="87" t="n"/>
      <x:c r="E137" s="87" t="n"/>
      <x:c r="F137" s="87" t="n"/>
      <x:c r="G137" s="87" t="n"/>
      <x:c r="H137" s="87" t="n"/>
      <x:c r="I137" s="87" t="n"/>
      <x:c r="J137" s="87" t="n"/>
      <x:c r="K137" s="87" t="n"/>
      <x:c r="L137" s="87" t="n"/>
      <x:c r="M137" s="87" t="n"/>
      <x:c r="N137" s="87" t="n"/>
      <x:c r="O137" s="62" t="str">
        <x:f>IF(G137="","",IF(G137="Single",AH137,IF(G137="Double",AI137,AJ137)))</x:f>
      </x:c>
      <x:c r="P137" s="62" t="str">
        <x:f>IF(OR(G137="",H137="Ikke spillet"),"",IF(G137="Single",O137,IF(J137="","",(O137+J137)/2)))</x:f>
      </x:c>
      <x:c r="Q137" s="62" t="str">
        <x:f>IF(OR(G137="",H137="Ikke spillet"),"",IF(G137="Single",L137,IF(OR(L137="",N137=""),"",(L137+N137)/2)))</x:f>
      </x:c>
      <x:c r="R137" s="62" t="str">
        <x:f>IF(OR(P137="",Q137=""),"",Q137-P137)</x:f>
      </x:c>
      <x:c r="S137" s="62" t="str">
        <x:f>IF(H137="Ikke spillet","",IF(R137="","",IF(ABS(R137)&lt;0.000001,"Lige (0)",VLOOKUP(ABS(R137),'BD Pointtabel'!$A$4:$G$15,2,TRUE))))</x:f>
      </x:c>
      <x:c r="T137" s="62" t="str">
        <x:f>IF(H137="Ikke spillet","Ikke spillet",IF(H137="Planlagt","Planlagt",IF(OR(H137="",P137="",Q137=""),"",IF(H137="Vundet",IF(R137&gt;0,"Uventet sejr","Ventet sejr"),IF(R137&gt;=0,"Ventet nederlag","Uventet nederlag")))))</x:f>
      </x:c>
      <x:c r="U137" s="62" t="str">
        <x:f>IF(OR(H137="Ikke spillet",H137="Planlagt"),"",IF(OR(G137="",H137="",P137="",Q137=""),"",IF(AND(F137="Ungdomsholdturnering",OR(G137="Double",G137="Mix"),H137="Tabt"),0,IF(H137="Vundet",IF(R137&gt;0,VLOOKUP(ABS(R137),'BD Pointtabel'!$A$4:$G$15,4,TRUE),VLOOKUP(ABS(R137),'BD Pointtabel'!$A$4:$G$15,7,TRUE)),IF(R137&gt;=0,VLOOKUP(ABS(R137),'BD Pointtabel'!$A$4:$G$15,6,TRUE),VLOOKUP(ABS(R137),'BD Pointtabel'!$A$4:$G$15,3,TRUE))))))</x:f>
      </x:c>
      <x:c r="V137" s="62" t="str">
        <x:f>IF(G137="","",SUMIFS($U$10:U137,$AG$10:AG137,AG137,$G$10:G137,G137))</x:f>
      </x:c>
      <x:c r="W137" s="62" t="str">
        <x:f>IF(C137="","",IF(AN137&lt;&gt;1,"",IF(G137="Single",AA137,IF(G137="Double",AC137,AE137))))</x:f>
      </x:c>
      <x:c r="X137" s="62" t="str">
        <x:f>IF(C137="","",IF(AN137&lt;&gt;1,"",ROUND(((AA137*AB137+AC137*AD137+AE137*AF137)/(AB137+AD137+AF137))+IF((MAX(AA137,AC137,AE137)-(AA137+AC137+AE137-MAX(AA137,AC137,AE137)-MIN(AA137,AC137,AE137)))&lt;'Model &amp; indstillinger'!$E$16,'Model &amp; indstillinger'!$E$18,'Model &amp; indstillinger'!$E$20)*(MAX(AA137,AC137,AE137)-((AA137*AB137+AC137*AD137+AE137*AF137)/(AB137+AD137+AF137))),0)))</x:f>
      </x:c>
      <x:c r="Y137" s="62" t="str">
        <x:f>IF(X137="","",'Model &amp; indstillinger'!$B$4-X137)</x:f>
      </x:c>
      <x:c r="Z137" s="62" t="str">
        <x:f>IF(C137="","",IF(H137="Planlagt","Planlagt – ingen point endnu",IF(H137="Ikke spillet","Ikke spillet – tæller ikke som kamp og giver ingen point",IF(AN137=1,"STÆVNE SLUT – samlet point tilskrives","Frosset pointgrundlag – ingen tilskrivning endnu"))))</x:f>
      </x:c>
      <x:c r="AA137" s="60" t="str">
        <x:f>IF(C137="","",'Model &amp; indstillinger'!$B$6+SUMIFS($U$10:U137,$G$10:G137,"Single"))</x:f>
      </x:c>
      <x:c r="AB137" s="60" t="str">
        <x:f>IF(C137="","",'Model &amp; indstillinger'!$B$7+COUNTIFS($G$10:G137,"Single",$AK$10:AK137,1))</x:f>
      </x:c>
      <x:c r="AC137" s="60" t="str">
        <x:f>IF(C137="","",'Model &amp; indstillinger'!$B$8+SUMIFS($U$10:U137,$G$10:G137,"Double"))</x:f>
      </x:c>
      <x:c r="AD137" s="60" t="str">
        <x:f>IF(C137="","",'Model &amp; indstillinger'!$B$9+COUNTIFS($G$10:G137,"Double",$AK$10:AK137,1))</x:f>
      </x:c>
      <x:c r="AE137" s="60" t="str">
        <x:f>IF(C137="","",'Model &amp; indstillinger'!$B$10+SUMIFS($U$10:U137,$G$10:G137,"Mix"))</x:f>
      </x:c>
      <x:c r="AF137" s="60" t="str">
        <x:f>IF(C137="","",'Model &amp; indstillinger'!$B$11+COUNTIFS($G$10:G137,"Mix",$AK$10:AK137,1))</x:f>
      </x:c>
      <x:c r="AG137" s="60" t="str">
        <x:f>IF(C137="","",IF(C137=C136,AG136,AG136+1))</x:f>
      </x:c>
      <x:c r="AH137" s="60" t="str">
        <x:f>IF(C137="","",IF(AG137=AG136,AH136,AA136))</x:f>
      </x:c>
      <x:c r="AI137" s="60" t="str">
        <x:f>IF(C137="","",IF(AG137=AG136,AI136,AC136))</x:f>
      </x:c>
      <x:c r="AJ137" s="60" t="str">
        <x:f>IF(C137="","",IF(AG137=AG136,AJ136,AE136))</x:f>
      </x:c>
      <x:c r="AK137" s="60" t="n">
        <x:f>IF(OR(H137="Vundet",H137="Tabt"),1,0)</x:f>
        <x:v>0</x:v>
      </x:c>
      <x:c r="AL137" s="60" t="n"/>
      <x:c r="AM137" s="60" t="n">
        <x:f>MAX($AG$10:$AG$209)</x:f>
        <x:v>4</x:v>
      </x:c>
      <x:c r="AN137" s="60" t="str">
        <x:f>IF(C137="","",IF(AND(C138&lt;&gt;"",C138&lt;&gt;C137),1,0))</x:f>
      </x:c>
      <x:c r="AO137" s="60" t="n"/>
      <x:c r="AP137" s="60" t="n">
        <x:f>MAX($AG$10:$AG$209)</x:f>
        <x:v>4</x:v>
      </x:c>
      <x:c r="AQ137" t="str">
        <x:f>AG137</x:f>
      </x:c>
      <x:c r="AR137" t="n">
        <x:f>C137</x:f>
        <x:v>0</x:v>
      </x:c>
      <x:c r="AS137" t="n">
        <x:f>E137</x:f>
        <x:v>0</x:v>
      </x:c>
    </x:row>
    <x:row r="138">
      <x:c r="A138" s="60" t="str">
        <x:f>IF(C138="","",COUNTIF($C$10:C138,"&lt;&gt;"))</x:f>
      </x:c>
      <x:c r="B138" s="122" t="n"/>
      <x:c r="C138" s="87" t="n"/>
      <x:c r="D138" s="87" t="n"/>
      <x:c r="E138" s="87" t="n"/>
      <x:c r="F138" s="87" t="n"/>
      <x:c r="G138" s="87" t="n"/>
      <x:c r="H138" s="87" t="n"/>
      <x:c r="I138" s="87" t="n"/>
      <x:c r="J138" s="87" t="n"/>
      <x:c r="K138" s="87" t="n"/>
      <x:c r="L138" s="87" t="n"/>
      <x:c r="M138" s="87" t="n"/>
      <x:c r="N138" s="87" t="n"/>
      <x:c r="O138" s="62" t="str">
        <x:f>IF(G138="","",IF(G138="Single",AH138,IF(G138="Double",AI138,AJ138)))</x:f>
      </x:c>
      <x:c r="P138" s="62" t="str">
        <x:f>IF(OR(G138="",H138="Ikke spillet"),"",IF(G138="Single",O138,IF(J138="","",(O138+J138)/2)))</x:f>
      </x:c>
      <x:c r="Q138" s="62" t="str">
        <x:f>IF(OR(G138="",H138="Ikke spillet"),"",IF(G138="Single",L138,IF(OR(L138="",N138=""),"",(L138+N138)/2)))</x:f>
      </x:c>
      <x:c r="R138" s="62" t="str">
        <x:f>IF(OR(P138="",Q138=""),"",Q138-P138)</x:f>
      </x:c>
      <x:c r="S138" s="62" t="str">
        <x:f>IF(H138="Ikke spillet","",IF(R138="","",IF(ABS(R138)&lt;0.000001,"Lige (0)",VLOOKUP(ABS(R138),'BD Pointtabel'!$A$4:$G$15,2,TRUE))))</x:f>
      </x:c>
      <x:c r="T138" s="62" t="str">
        <x:f>IF(H138="Ikke spillet","Ikke spillet",IF(H138="Planlagt","Planlagt",IF(OR(H138="",P138="",Q138=""),"",IF(H138="Vundet",IF(R138&gt;0,"Uventet sejr","Ventet sejr"),IF(R138&gt;=0,"Ventet nederlag","Uventet nederlag")))))</x:f>
      </x:c>
      <x:c r="U138" s="62" t="str">
        <x:f>IF(OR(H138="Ikke spillet",H138="Planlagt"),"",IF(OR(G138="",H138="",P138="",Q138=""),"",IF(AND(F138="Ungdomsholdturnering",OR(G138="Double",G138="Mix"),H138="Tabt"),0,IF(H138="Vundet",IF(R138&gt;0,VLOOKUP(ABS(R138),'BD Pointtabel'!$A$4:$G$15,4,TRUE),VLOOKUP(ABS(R138),'BD Pointtabel'!$A$4:$G$15,7,TRUE)),IF(R138&gt;=0,VLOOKUP(ABS(R138),'BD Pointtabel'!$A$4:$G$15,6,TRUE),VLOOKUP(ABS(R138),'BD Pointtabel'!$A$4:$G$15,3,TRUE))))))</x:f>
      </x:c>
      <x:c r="V138" s="62" t="str">
        <x:f>IF(G138="","",SUMIFS($U$10:U138,$AG$10:AG138,AG138,$G$10:G138,G138))</x:f>
      </x:c>
      <x:c r="W138" s="62" t="str">
        <x:f>IF(C138="","",IF(AN138&lt;&gt;1,"",IF(G138="Single",AA138,IF(G138="Double",AC138,AE138))))</x:f>
      </x:c>
      <x:c r="X138" s="62" t="str">
        <x:f>IF(C138="","",IF(AN138&lt;&gt;1,"",ROUND(((AA138*AB138+AC138*AD138+AE138*AF138)/(AB138+AD138+AF138))+IF((MAX(AA138,AC138,AE138)-(AA138+AC138+AE138-MAX(AA138,AC138,AE138)-MIN(AA138,AC138,AE138)))&lt;'Model &amp; indstillinger'!$E$16,'Model &amp; indstillinger'!$E$18,'Model &amp; indstillinger'!$E$20)*(MAX(AA138,AC138,AE138)-((AA138*AB138+AC138*AD138+AE138*AF138)/(AB138+AD138+AF138))),0)))</x:f>
      </x:c>
      <x:c r="Y138" s="62" t="str">
        <x:f>IF(X138="","",'Model &amp; indstillinger'!$B$4-X138)</x:f>
      </x:c>
      <x:c r="Z138" s="62" t="str">
        <x:f>IF(C138="","",IF(H138="Planlagt","Planlagt – ingen point endnu",IF(H138="Ikke spillet","Ikke spillet – tæller ikke som kamp og giver ingen point",IF(AN138=1,"STÆVNE SLUT – samlet point tilskrives","Frosset pointgrundlag – ingen tilskrivning endnu"))))</x:f>
      </x:c>
      <x:c r="AA138" s="60" t="str">
        <x:f>IF(C138="","",'Model &amp; indstillinger'!$B$6+SUMIFS($U$10:U138,$G$10:G138,"Single"))</x:f>
      </x:c>
      <x:c r="AB138" s="60" t="str">
        <x:f>IF(C138="","",'Model &amp; indstillinger'!$B$7+COUNTIFS($G$10:G138,"Single",$AK$10:AK138,1))</x:f>
      </x:c>
      <x:c r="AC138" s="60" t="str">
        <x:f>IF(C138="","",'Model &amp; indstillinger'!$B$8+SUMIFS($U$10:U138,$G$10:G138,"Double"))</x:f>
      </x:c>
      <x:c r="AD138" s="60" t="str">
        <x:f>IF(C138="","",'Model &amp; indstillinger'!$B$9+COUNTIFS($G$10:G138,"Double",$AK$10:AK138,1))</x:f>
      </x:c>
      <x:c r="AE138" s="60" t="str">
        <x:f>IF(C138="","",'Model &amp; indstillinger'!$B$10+SUMIFS($U$10:U138,$G$10:G138,"Mix"))</x:f>
      </x:c>
      <x:c r="AF138" s="60" t="str">
        <x:f>IF(C138="","",'Model &amp; indstillinger'!$B$11+COUNTIFS($G$10:G138,"Mix",$AK$10:AK138,1))</x:f>
      </x:c>
      <x:c r="AG138" s="60" t="str">
        <x:f>IF(C138="","",IF(C138=C137,AG137,AG137+1))</x:f>
      </x:c>
      <x:c r="AH138" s="60" t="str">
        <x:f>IF(C138="","",IF(AG138=AG137,AH137,AA137))</x:f>
      </x:c>
      <x:c r="AI138" s="60" t="str">
        <x:f>IF(C138="","",IF(AG138=AG137,AI137,AC137))</x:f>
      </x:c>
      <x:c r="AJ138" s="60" t="str">
        <x:f>IF(C138="","",IF(AG138=AG137,AJ137,AE137))</x:f>
      </x:c>
      <x:c r="AK138" s="60" t="n">
        <x:f>IF(OR(H138="Vundet",H138="Tabt"),1,0)</x:f>
        <x:v>0</x:v>
      </x:c>
      <x:c r="AL138" s="60" t="n"/>
      <x:c r="AM138" s="60" t="n">
        <x:f>MAX($AG$10:$AG$209)</x:f>
        <x:v>4</x:v>
      </x:c>
      <x:c r="AN138" s="60" t="str">
        <x:f>IF(C138="","",IF(AND(C139&lt;&gt;"",C139&lt;&gt;C138),1,0))</x:f>
      </x:c>
      <x:c r="AO138" s="60" t="n"/>
      <x:c r="AP138" s="60" t="n">
        <x:f>MAX($AG$10:$AG$209)</x:f>
        <x:v>4</x:v>
      </x:c>
      <x:c r="AQ138" t="str">
        <x:f>AG138</x:f>
      </x:c>
      <x:c r="AR138" t="n">
        <x:f>C138</x:f>
        <x:v>0</x:v>
      </x:c>
      <x:c r="AS138" t="n">
        <x:f>E138</x:f>
        <x:v>0</x:v>
      </x:c>
    </x:row>
    <x:row r="139">
      <x:c r="A139" s="60" t="str">
        <x:f>IF(C139="","",COUNTIF($C$10:C139,"&lt;&gt;"))</x:f>
      </x:c>
      <x:c r="B139" s="122" t="n"/>
      <x:c r="C139" s="87" t="n"/>
      <x:c r="D139" s="87" t="n"/>
      <x:c r="E139" s="87" t="n"/>
      <x:c r="F139" s="87" t="n"/>
      <x:c r="G139" s="87" t="n"/>
      <x:c r="H139" s="87" t="n"/>
      <x:c r="I139" s="87" t="n"/>
      <x:c r="J139" s="87" t="n"/>
      <x:c r="K139" s="87" t="n"/>
      <x:c r="L139" s="87" t="n"/>
      <x:c r="M139" s="87" t="n"/>
      <x:c r="N139" s="87" t="n"/>
      <x:c r="O139" s="62" t="str">
        <x:f>IF(G139="","",IF(G139="Single",AH139,IF(G139="Double",AI139,AJ139)))</x:f>
      </x:c>
      <x:c r="P139" s="62" t="str">
        <x:f>IF(OR(G139="",H139="Ikke spillet"),"",IF(G139="Single",O139,IF(J139="","",(O139+J139)/2)))</x:f>
      </x:c>
      <x:c r="Q139" s="62" t="str">
        <x:f>IF(OR(G139="",H139="Ikke spillet"),"",IF(G139="Single",L139,IF(OR(L139="",N139=""),"",(L139+N139)/2)))</x:f>
      </x:c>
      <x:c r="R139" s="62" t="str">
        <x:f>IF(OR(P139="",Q139=""),"",Q139-P139)</x:f>
      </x:c>
      <x:c r="S139" s="62" t="str">
        <x:f>IF(H139="Ikke spillet","",IF(R139="","",IF(ABS(R139)&lt;0.000001,"Lige (0)",VLOOKUP(ABS(R139),'BD Pointtabel'!$A$4:$G$15,2,TRUE))))</x:f>
      </x:c>
      <x:c r="T139" s="62" t="str">
        <x:f>IF(H139="Ikke spillet","Ikke spillet",IF(H139="Planlagt","Planlagt",IF(OR(H139="",P139="",Q139=""),"",IF(H139="Vundet",IF(R139&gt;0,"Uventet sejr","Ventet sejr"),IF(R139&gt;=0,"Ventet nederlag","Uventet nederlag")))))</x:f>
      </x:c>
      <x:c r="U139" s="62" t="str">
        <x:f>IF(OR(H139="Ikke spillet",H139="Planlagt"),"",IF(OR(G139="",H139="",P139="",Q139=""),"",IF(AND(F139="Ungdomsholdturnering",OR(G139="Double",G139="Mix"),H139="Tabt"),0,IF(H139="Vundet",IF(R139&gt;0,VLOOKUP(ABS(R139),'BD Pointtabel'!$A$4:$G$15,4,TRUE),VLOOKUP(ABS(R139),'BD Pointtabel'!$A$4:$G$15,7,TRUE)),IF(R139&gt;=0,VLOOKUP(ABS(R139),'BD Pointtabel'!$A$4:$G$15,6,TRUE),VLOOKUP(ABS(R139),'BD Pointtabel'!$A$4:$G$15,3,TRUE))))))</x:f>
      </x:c>
      <x:c r="V139" s="62" t="str">
        <x:f>IF(G139="","",SUMIFS($U$10:U139,$AG$10:AG139,AG139,$G$10:G139,G139))</x:f>
      </x:c>
      <x:c r="W139" s="62" t="str">
        <x:f>IF(C139="","",IF(AN139&lt;&gt;1,"",IF(G139="Single",AA139,IF(G139="Double",AC139,AE139))))</x:f>
      </x:c>
      <x:c r="X139" s="62" t="str">
        <x:f>IF(C139="","",IF(AN139&lt;&gt;1,"",ROUND(((AA139*AB139+AC139*AD139+AE139*AF139)/(AB139+AD139+AF139))+IF((MAX(AA139,AC139,AE139)-(AA139+AC139+AE139-MAX(AA139,AC139,AE139)-MIN(AA139,AC139,AE139)))&lt;'Model &amp; indstillinger'!$E$16,'Model &amp; indstillinger'!$E$18,'Model &amp; indstillinger'!$E$20)*(MAX(AA139,AC139,AE139)-((AA139*AB139+AC139*AD139+AE139*AF139)/(AB139+AD139+AF139))),0)))</x:f>
      </x:c>
      <x:c r="Y139" s="62" t="str">
        <x:f>IF(X139="","",'Model &amp; indstillinger'!$B$4-X139)</x:f>
      </x:c>
      <x:c r="Z139" s="62" t="str">
        <x:f>IF(C139="","",IF(H139="Planlagt","Planlagt – ingen point endnu",IF(H139="Ikke spillet","Ikke spillet – tæller ikke som kamp og giver ingen point",IF(AN139=1,"STÆVNE SLUT – samlet point tilskrives","Frosset pointgrundlag – ingen tilskrivning endnu"))))</x:f>
      </x:c>
      <x:c r="AA139" s="60" t="str">
        <x:f>IF(C139="","",'Model &amp; indstillinger'!$B$6+SUMIFS($U$10:U139,$G$10:G139,"Single"))</x:f>
      </x:c>
      <x:c r="AB139" s="60" t="str">
        <x:f>IF(C139="","",'Model &amp; indstillinger'!$B$7+COUNTIFS($G$10:G139,"Single",$AK$10:AK139,1))</x:f>
      </x:c>
      <x:c r="AC139" s="60" t="str">
        <x:f>IF(C139="","",'Model &amp; indstillinger'!$B$8+SUMIFS($U$10:U139,$G$10:G139,"Double"))</x:f>
      </x:c>
      <x:c r="AD139" s="60" t="str">
        <x:f>IF(C139="","",'Model &amp; indstillinger'!$B$9+COUNTIFS($G$10:G139,"Double",$AK$10:AK139,1))</x:f>
      </x:c>
      <x:c r="AE139" s="60" t="str">
        <x:f>IF(C139="","",'Model &amp; indstillinger'!$B$10+SUMIFS($U$10:U139,$G$10:G139,"Mix"))</x:f>
      </x:c>
      <x:c r="AF139" s="60" t="str">
        <x:f>IF(C139="","",'Model &amp; indstillinger'!$B$11+COUNTIFS($G$10:G139,"Mix",$AK$10:AK139,1))</x:f>
      </x:c>
      <x:c r="AG139" s="60" t="str">
        <x:f>IF(C139="","",IF(C139=C138,AG138,AG138+1))</x:f>
      </x:c>
      <x:c r="AH139" s="60" t="str">
        <x:f>IF(C139="","",IF(AG139=AG138,AH138,AA138))</x:f>
      </x:c>
      <x:c r="AI139" s="60" t="str">
        <x:f>IF(C139="","",IF(AG139=AG138,AI138,AC138))</x:f>
      </x:c>
      <x:c r="AJ139" s="60" t="str">
        <x:f>IF(C139="","",IF(AG139=AG138,AJ138,AE138))</x:f>
      </x:c>
      <x:c r="AK139" s="60" t="n">
        <x:f>IF(OR(H139="Vundet",H139="Tabt"),1,0)</x:f>
        <x:v>0</x:v>
      </x:c>
      <x:c r="AL139" s="60" t="n"/>
      <x:c r="AM139" s="60" t="n">
        <x:f>MAX($AG$10:$AG$209)</x:f>
        <x:v>4</x:v>
      </x:c>
      <x:c r="AN139" s="60" t="str">
        <x:f>IF(C139="","",IF(AND(C140&lt;&gt;"",C140&lt;&gt;C139),1,0))</x:f>
      </x:c>
      <x:c r="AO139" s="60" t="n"/>
      <x:c r="AP139" s="60" t="n">
        <x:f>MAX($AG$10:$AG$209)</x:f>
        <x:v>4</x:v>
      </x:c>
      <x:c r="AQ139" t="str">
        <x:f>AG139</x:f>
      </x:c>
      <x:c r="AR139" t="n">
        <x:f>C139</x:f>
        <x:v>0</x:v>
      </x:c>
      <x:c r="AS139" t="n">
        <x:f>E139</x:f>
        <x:v>0</x:v>
      </x:c>
    </x:row>
    <x:row r="140">
      <x:c r="A140" s="60" t="str">
        <x:f>IF(C140="","",COUNTIF($C$10:C140,"&lt;&gt;"))</x:f>
      </x:c>
      <x:c r="B140" s="122" t="n"/>
      <x:c r="C140" s="87" t="n"/>
      <x:c r="D140" s="87" t="n"/>
      <x:c r="E140" s="87" t="n"/>
      <x:c r="F140" s="87" t="n"/>
      <x:c r="G140" s="87" t="n"/>
      <x:c r="H140" s="87" t="n"/>
      <x:c r="I140" s="87" t="n"/>
      <x:c r="J140" s="87" t="n"/>
      <x:c r="K140" s="87" t="n"/>
      <x:c r="L140" s="87" t="n"/>
      <x:c r="M140" s="87" t="n"/>
      <x:c r="N140" s="87" t="n"/>
      <x:c r="O140" s="62" t="str">
        <x:f>IF(G140="","",IF(G140="Single",AH140,IF(G140="Double",AI140,AJ140)))</x:f>
      </x:c>
      <x:c r="P140" s="62" t="str">
        <x:f>IF(OR(G140="",H140="Ikke spillet"),"",IF(G140="Single",O140,IF(J140="","",(O140+J140)/2)))</x:f>
      </x:c>
      <x:c r="Q140" s="62" t="str">
        <x:f>IF(OR(G140="",H140="Ikke spillet"),"",IF(G140="Single",L140,IF(OR(L140="",N140=""),"",(L140+N140)/2)))</x:f>
      </x:c>
      <x:c r="R140" s="62" t="str">
        <x:f>IF(OR(P140="",Q140=""),"",Q140-P140)</x:f>
      </x:c>
      <x:c r="S140" s="62" t="str">
        <x:f>IF(H140="Ikke spillet","",IF(R140="","",IF(ABS(R140)&lt;0.000001,"Lige (0)",VLOOKUP(ABS(R140),'BD Pointtabel'!$A$4:$G$15,2,TRUE))))</x:f>
      </x:c>
      <x:c r="T140" s="62" t="str">
        <x:f>IF(H140="Ikke spillet","Ikke spillet",IF(H140="Planlagt","Planlagt",IF(OR(H140="",P140="",Q140=""),"",IF(H140="Vundet",IF(R140&gt;0,"Uventet sejr","Ventet sejr"),IF(R140&gt;=0,"Ventet nederlag","Uventet nederlag")))))</x:f>
      </x:c>
      <x:c r="U140" s="62" t="str">
        <x:f>IF(OR(H140="Ikke spillet",H140="Planlagt"),"",IF(OR(G140="",H140="",P140="",Q140=""),"",IF(AND(F140="Ungdomsholdturnering",OR(G140="Double",G140="Mix"),H140="Tabt"),0,IF(H140="Vundet",IF(R140&gt;0,VLOOKUP(ABS(R140),'BD Pointtabel'!$A$4:$G$15,4,TRUE),VLOOKUP(ABS(R140),'BD Pointtabel'!$A$4:$G$15,7,TRUE)),IF(R140&gt;=0,VLOOKUP(ABS(R140),'BD Pointtabel'!$A$4:$G$15,6,TRUE),VLOOKUP(ABS(R140),'BD Pointtabel'!$A$4:$G$15,3,TRUE))))))</x:f>
      </x:c>
      <x:c r="V140" s="62" t="str">
        <x:f>IF(G140="","",SUMIFS($U$10:U140,$AG$10:AG140,AG140,$G$10:G140,G140))</x:f>
      </x:c>
      <x:c r="W140" s="62" t="str">
        <x:f>IF(C140="","",IF(AN140&lt;&gt;1,"",IF(G140="Single",AA140,IF(G140="Double",AC140,AE140))))</x:f>
      </x:c>
      <x:c r="X140" s="62" t="str">
        <x:f>IF(C140="","",IF(AN140&lt;&gt;1,"",ROUND(((AA140*AB140+AC140*AD140+AE140*AF140)/(AB140+AD140+AF140))+IF((MAX(AA140,AC140,AE140)-(AA140+AC140+AE140-MAX(AA140,AC140,AE140)-MIN(AA140,AC140,AE140)))&lt;'Model &amp; indstillinger'!$E$16,'Model &amp; indstillinger'!$E$18,'Model &amp; indstillinger'!$E$20)*(MAX(AA140,AC140,AE140)-((AA140*AB140+AC140*AD140+AE140*AF140)/(AB140+AD140+AF140))),0)))</x:f>
      </x:c>
      <x:c r="Y140" s="62" t="str">
        <x:f>IF(X140="","",'Model &amp; indstillinger'!$B$4-X140)</x:f>
      </x:c>
      <x:c r="Z140" s="62" t="str">
        <x:f>IF(C140="","",IF(H140="Planlagt","Planlagt – ingen point endnu",IF(H140="Ikke spillet","Ikke spillet – tæller ikke som kamp og giver ingen point",IF(AN140=1,"STÆVNE SLUT – samlet point tilskrives","Frosset pointgrundlag – ingen tilskrivning endnu"))))</x:f>
      </x:c>
      <x:c r="AA140" s="60" t="str">
        <x:f>IF(C140="","",'Model &amp; indstillinger'!$B$6+SUMIFS($U$10:U140,$G$10:G140,"Single"))</x:f>
      </x:c>
      <x:c r="AB140" s="60" t="str">
        <x:f>IF(C140="","",'Model &amp; indstillinger'!$B$7+COUNTIFS($G$10:G140,"Single",$AK$10:AK140,1))</x:f>
      </x:c>
      <x:c r="AC140" s="60" t="str">
        <x:f>IF(C140="","",'Model &amp; indstillinger'!$B$8+SUMIFS($U$10:U140,$G$10:G140,"Double"))</x:f>
      </x:c>
      <x:c r="AD140" s="60" t="str">
        <x:f>IF(C140="","",'Model &amp; indstillinger'!$B$9+COUNTIFS($G$10:G140,"Double",$AK$10:AK140,1))</x:f>
      </x:c>
      <x:c r="AE140" s="60" t="str">
        <x:f>IF(C140="","",'Model &amp; indstillinger'!$B$10+SUMIFS($U$10:U140,$G$10:G140,"Mix"))</x:f>
      </x:c>
      <x:c r="AF140" s="60" t="str">
        <x:f>IF(C140="","",'Model &amp; indstillinger'!$B$11+COUNTIFS($G$10:G140,"Mix",$AK$10:AK140,1))</x:f>
      </x:c>
      <x:c r="AG140" s="60" t="str">
        <x:f>IF(C140="","",IF(C140=C139,AG139,AG139+1))</x:f>
      </x:c>
      <x:c r="AH140" s="60" t="str">
        <x:f>IF(C140="","",IF(AG140=AG139,AH139,AA139))</x:f>
      </x:c>
      <x:c r="AI140" s="60" t="str">
        <x:f>IF(C140="","",IF(AG140=AG139,AI139,AC139))</x:f>
      </x:c>
      <x:c r="AJ140" s="60" t="str">
        <x:f>IF(C140="","",IF(AG140=AG139,AJ139,AE139))</x:f>
      </x:c>
      <x:c r="AK140" s="60" t="n">
        <x:f>IF(OR(H140="Vundet",H140="Tabt"),1,0)</x:f>
        <x:v>0</x:v>
      </x:c>
      <x:c r="AL140" s="60" t="n"/>
      <x:c r="AM140" s="60" t="n">
        <x:f>MAX($AG$10:$AG$209)</x:f>
        <x:v>4</x:v>
      </x:c>
      <x:c r="AN140" s="60" t="str">
        <x:f>IF(C140="","",IF(AND(C141&lt;&gt;"",C141&lt;&gt;C140),1,0))</x:f>
      </x:c>
      <x:c r="AO140" s="60" t="n"/>
      <x:c r="AP140" s="60" t="n">
        <x:f>MAX($AG$10:$AG$209)</x:f>
        <x:v>4</x:v>
      </x:c>
      <x:c r="AQ140" t="str">
        <x:f>AG140</x:f>
      </x:c>
      <x:c r="AR140" t="n">
        <x:f>C140</x:f>
        <x:v>0</x:v>
      </x:c>
      <x:c r="AS140" t="n">
        <x:f>E140</x:f>
        <x:v>0</x:v>
      </x:c>
    </x:row>
    <x:row r="141">
      <x:c r="A141" s="60" t="str">
        <x:f>IF(C141="","",COUNTIF($C$10:C141,"&lt;&gt;"))</x:f>
      </x:c>
      <x:c r="B141" s="122" t="n"/>
      <x:c r="C141" s="87" t="n"/>
      <x:c r="D141" s="87" t="n"/>
      <x:c r="E141" s="87" t="n"/>
      <x:c r="F141" s="87" t="n"/>
      <x:c r="G141" s="87" t="n"/>
      <x:c r="H141" s="87" t="n"/>
      <x:c r="I141" s="87" t="n"/>
      <x:c r="J141" s="87" t="n"/>
      <x:c r="K141" s="87" t="n"/>
      <x:c r="L141" s="87" t="n"/>
      <x:c r="M141" s="87" t="n"/>
      <x:c r="N141" s="87" t="n"/>
      <x:c r="O141" s="62" t="str">
        <x:f>IF(G141="","",IF(G141="Single",AH141,IF(G141="Double",AI141,AJ141)))</x:f>
      </x:c>
      <x:c r="P141" s="62" t="str">
        <x:f>IF(OR(G141="",H141="Ikke spillet"),"",IF(G141="Single",O141,IF(J141="","",(O141+J141)/2)))</x:f>
      </x:c>
      <x:c r="Q141" s="62" t="str">
        <x:f>IF(OR(G141="",H141="Ikke spillet"),"",IF(G141="Single",L141,IF(OR(L141="",N141=""),"",(L141+N141)/2)))</x:f>
      </x:c>
      <x:c r="R141" s="62" t="str">
        <x:f>IF(OR(P141="",Q141=""),"",Q141-P141)</x:f>
      </x:c>
      <x:c r="S141" s="62" t="str">
        <x:f>IF(H141="Ikke spillet","",IF(R141="","",IF(ABS(R141)&lt;0.000001,"Lige (0)",VLOOKUP(ABS(R141),'BD Pointtabel'!$A$4:$G$15,2,TRUE))))</x:f>
      </x:c>
      <x:c r="T141" s="62" t="str">
        <x:f>IF(H141="Ikke spillet","Ikke spillet",IF(H141="Planlagt","Planlagt",IF(OR(H141="",P141="",Q141=""),"",IF(H141="Vundet",IF(R141&gt;0,"Uventet sejr","Ventet sejr"),IF(R141&gt;=0,"Ventet nederlag","Uventet nederlag")))))</x:f>
      </x:c>
      <x:c r="U141" s="62" t="str">
        <x:f>IF(OR(H141="Ikke spillet",H141="Planlagt"),"",IF(OR(G141="",H141="",P141="",Q141=""),"",IF(AND(F141="Ungdomsholdturnering",OR(G141="Double",G141="Mix"),H141="Tabt"),0,IF(H141="Vundet",IF(R141&gt;0,VLOOKUP(ABS(R141),'BD Pointtabel'!$A$4:$G$15,4,TRUE),VLOOKUP(ABS(R141),'BD Pointtabel'!$A$4:$G$15,7,TRUE)),IF(R141&gt;=0,VLOOKUP(ABS(R141),'BD Pointtabel'!$A$4:$G$15,6,TRUE),VLOOKUP(ABS(R141),'BD Pointtabel'!$A$4:$G$15,3,TRUE))))))</x:f>
      </x:c>
      <x:c r="V141" s="62" t="str">
        <x:f>IF(G141="","",SUMIFS($U$10:U141,$AG$10:AG141,AG141,$G$10:G141,G141))</x:f>
      </x:c>
      <x:c r="W141" s="62" t="str">
        <x:f>IF(C141="","",IF(AN141&lt;&gt;1,"",IF(G141="Single",AA141,IF(G141="Double",AC141,AE141))))</x:f>
      </x:c>
      <x:c r="X141" s="62" t="str">
        <x:f>IF(C141="","",IF(AN141&lt;&gt;1,"",ROUND(((AA141*AB141+AC141*AD141+AE141*AF141)/(AB141+AD141+AF141))+IF((MAX(AA141,AC141,AE141)-(AA141+AC141+AE141-MAX(AA141,AC141,AE141)-MIN(AA141,AC141,AE141)))&lt;'Model &amp; indstillinger'!$E$16,'Model &amp; indstillinger'!$E$18,'Model &amp; indstillinger'!$E$20)*(MAX(AA141,AC141,AE141)-((AA141*AB141+AC141*AD141+AE141*AF141)/(AB141+AD141+AF141))),0)))</x:f>
      </x:c>
      <x:c r="Y141" s="62" t="str">
        <x:f>IF(X141="","",'Model &amp; indstillinger'!$B$4-X141)</x:f>
      </x:c>
      <x:c r="Z141" s="62" t="str">
        <x:f>IF(C141="","",IF(H141="Planlagt","Planlagt – ingen point endnu",IF(H141="Ikke spillet","Ikke spillet – tæller ikke som kamp og giver ingen point",IF(AN141=1,"STÆVNE SLUT – samlet point tilskrives","Frosset pointgrundlag – ingen tilskrivning endnu"))))</x:f>
      </x:c>
      <x:c r="AA141" s="60" t="str">
        <x:f>IF(C141="","",'Model &amp; indstillinger'!$B$6+SUMIFS($U$10:U141,$G$10:G141,"Single"))</x:f>
      </x:c>
      <x:c r="AB141" s="60" t="str">
        <x:f>IF(C141="","",'Model &amp; indstillinger'!$B$7+COUNTIFS($G$10:G141,"Single",$AK$10:AK141,1))</x:f>
      </x:c>
      <x:c r="AC141" s="60" t="str">
        <x:f>IF(C141="","",'Model &amp; indstillinger'!$B$8+SUMIFS($U$10:U141,$G$10:G141,"Double"))</x:f>
      </x:c>
      <x:c r="AD141" s="60" t="str">
        <x:f>IF(C141="","",'Model &amp; indstillinger'!$B$9+COUNTIFS($G$10:G141,"Double",$AK$10:AK141,1))</x:f>
      </x:c>
      <x:c r="AE141" s="60" t="str">
        <x:f>IF(C141="","",'Model &amp; indstillinger'!$B$10+SUMIFS($U$10:U141,$G$10:G141,"Mix"))</x:f>
      </x:c>
      <x:c r="AF141" s="60" t="str">
        <x:f>IF(C141="","",'Model &amp; indstillinger'!$B$11+COUNTIFS($G$10:G141,"Mix",$AK$10:AK141,1))</x:f>
      </x:c>
      <x:c r="AG141" s="60" t="str">
        <x:f>IF(C141="","",IF(C141=C140,AG140,AG140+1))</x:f>
      </x:c>
      <x:c r="AH141" s="60" t="str">
        <x:f>IF(C141="","",IF(AG141=AG140,AH140,AA140))</x:f>
      </x:c>
      <x:c r="AI141" s="60" t="str">
        <x:f>IF(C141="","",IF(AG141=AG140,AI140,AC140))</x:f>
      </x:c>
      <x:c r="AJ141" s="60" t="str">
        <x:f>IF(C141="","",IF(AG141=AG140,AJ140,AE140))</x:f>
      </x:c>
      <x:c r="AK141" s="60" t="n">
        <x:f>IF(OR(H141="Vundet",H141="Tabt"),1,0)</x:f>
        <x:v>0</x:v>
      </x:c>
      <x:c r="AL141" s="60" t="n"/>
      <x:c r="AM141" s="60" t="n">
        <x:f>MAX($AG$10:$AG$209)</x:f>
        <x:v>4</x:v>
      </x:c>
      <x:c r="AN141" s="60" t="str">
        <x:f>IF(C141="","",IF(AND(C142&lt;&gt;"",C142&lt;&gt;C141),1,0))</x:f>
      </x:c>
      <x:c r="AO141" s="60" t="n"/>
      <x:c r="AP141" s="60" t="n">
        <x:f>MAX($AG$10:$AG$209)</x:f>
        <x:v>4</x:v>
      </x:c>
      <x:c r="AQ141" t="str">
        <x:f>AG141</x:f>
      </x:c>
      <x:c r="AR141" t="n">
        <x:f>C141</x:f>
        <x:v>0</x:v>
      </x:c>
      <x:c r="AS141" t="n">
        <x:f>E141</x:f>
        <x:v>0</x:v>
      </x:c>
    </x:row>
    <x:row r="142">
      <x:c r="A142" s="60" t="str">
        <x:f>IF(C142="","",COUNTIF($C$10:C142,"&lt;&gt;"))</x:f>
      </x:c>
      <x:c r="B142" s="122" t="n"/>
      <x:c r="C142" s="87" t="n"/>
      <x:c r="D142" s="87" t="n"/>
      <x:c r="E142" s="87" t="n"/>
      <x:c r="F142" s="87" t="n"/>
      <x:c r="G142" s="87" t="n"/>
      <x:c r="H142" s="87" t="n"/>
      <x:c r="I142" s="87" t="n"/>
      <x:c r="J142" s="87" t="n"/>
      <x:c r="K142" s="87" t="n"/>
      <x:c r="L142" s="87" t="n"/>
      <x:c r="M142" s="87" t="n"/>
      <x:c r="N142" s="87" t="n"/>
      <x:c r="O142" s="62" t="str">
        <x:f>IF(G142="","",IF(G142="Single",AH142,IF(G142="Double",AI142,AJ142)))</x:f>
      </x:c>
      <x:c r="P142" s="62" t="str">
        <x:f>IF(OR(G142="",H142="Ikke spillet"),"",IF(G142="Single",O142,IF(J142="","",(O142+J142)/2)))</x:f>
      </x:c>
      <x:c r="Q142" s="62" t="str">
        <x:f>IF(OR(G142="",H142="Ikke spillet"),"",IF(G142="Single",L142,IF(OR(L142="",N142=""),"",(L142+N142)/2)))</x:f>
      </x:c>
      <x:c r="R142" s="62" t="str">
        <x:f>IF(OR(P142="",Q142=""),"",Q142-P142)</x:f>
      </x:c>
      <x:c r="S142" s="62" t="str">
        <x:f>IF(H142="Ikke spillet","",IF(R142="","",IF(ABS(R142)&lt;0.000001,"Lige (0)",VLOOKUP(ABS(R142),'BD Pointtabel'!$A$4:$G$15,2,TRUE))))</x:f>
      </x:c>
      <x:c r="T142" s="62" t="str">
        <x:f>IF(H142="Ikke spillet","Ikke spillet",IF(H142="Planlagt","Planlagt",IF(OR(H142="",P142="",Q142=""),"",IF(H142="Vundet",IF(R142&gt;0,"Uventet sejr","Ventet sejr"),IF(R142&gt;=0,"Ventet nederlag","Uventet nederlag")))))</x:f>
      </x:c>
      <x:c r="U142" s="62" t="str">
        <x:f>IF(OR(H142="Ikke spillet",H142="Planlagt"),"",IF(OR(G142="",H142="",P142="",Q142=""),"",IF(AND(F142="Ungdomsholdturnering",OR(G142="Double",G142="Mix"),H142="Tabt"),0,IF(H142="Vundet",IF(R142&gt;0,VLOOKUP(ABS(R142),'BD Pointtabel'!$A$4:$G$15,4,TRUE),VLOOKUP(ABS(R142),'BD Pointtabel'!$A$4:$G$15,7,TRUE)),IF(R142&gt;=0,VLOOKUP(ABS(R142),'BD Pointtabel'!$A$4:$G$15,6,TRUE),VLOOKUP(ABS(R142),'BD Pointtabel'!$A$4:$G$15,3,TRUE))))))</x:f>
      </x:c>
      <x:c r="V142" s="62" t="str">
        <x:f>IF(G142="","",SUMIFS($U$10:U142,$AG$10:AG142,AG142,$G$10:G142,G142))</x:f>
      </x:c>
      <x:c r="W142" s="62" t="str">
        <x:f>IF(C142="","",IF(AN142&lt;&gt;1,"",IF(G142="Single",AA142,IF(G142="Double",AC142,AE142))))</x:f>
      </x:c>
      <x:c r="X142" s="62" t="str">
        <x:f>IF(C142="","",IF(AN142&lt;&gt;1,"",ROUND(((AA142*AB142+AC142*AD142+AE142*AF142)/(AB142+AD142+AF142))+IF((MAX(AA142,AC142,AE142)-(AA142+AC142+AE142-MAX(AA142,AC142,AE142)-MIN(AA142,AC142,AE142)))&lt;'Model &amp; indstillinger'!$E$16,'Model &amp; indstillinger'!$E$18,'Model &amp; indstillinger'!$E$20)*(MAX(AA142,AC142,AE142)-((AA142*AB142+AC142*AD142+AE142*AF142)/(AB142+AD142+AF142))),0)))</x:f>
      </x:c>
      <x:c r="Y142" s="62" t="str">
        <x:f>IF(X142="","",'Model &amp; indstillinger'!$B$4-X142)</x:f>
      </x:c>
      <x:c r="Z142" s="62" t="str">
        <x:f>IF(C142="","",IF(H142="Planlagt","Planlagt – ingen point endnu",IF(H142="Ikke spillet","Ikke spillet – tæller ikke som kamp og giver ingen point",IF(AN142=1,"STÆVNE SLUT – samlet point tilskrives","Frosset pointgrundlag – ingen tilskrivning endnu"))))</x:f>
      </x:c>
      <x:c r="AA142" s="60" t="str">
        <x:f>IF(C142="","",'Model &amp; indstillinger'!$B$6+SUMIFS($U$10:U142,$G$10:G142,"Single"))</x:f>
      </x:c>
      <x:c r="AB142" s="60" t="str">
        <x:f>IF(C142="","",'Model &amp; indstillinger'!$B$7+COUNTIFS($G$10:G142,"Single",$AK$10:AK142,1))</x:f>
      </x:c>
      <x:c r="AC142" s="60" t="str">
        <x:f>IF(C142="","",'Model &amp; indstillinger'!$B$8+SUMIFS($U$10:U142,$G$10:G142,"Double"))</x:f>
      </x:c>
      <x:c r="AD142" s="60" t="str">
        <x:f>IF(C142="","",'Model &amp; indstillinger'!$B$9+COUNTIFS($G$10:G142,"Double",$AK$10:AK142,1))</x:f>
      </x:c>
      <x:c r="AE142" s="60" t="str">
        <x:f>IF(C142="","",'Model &amp; indstillinger'!$B$10+SUMIFS($U$10:U142,$G$10:G142,"Mix"))</x:f>
      </x:c>
      <x:c r="AF142" s="60" t="str">
        <x:f>IF(C142="","",'Model &amp; indstillinger'!$B$11+COUNTIFS($G$10:G142,"Mix",$AK$10:AK142,1))</x:f>
      </x:c>
      <x:c r="AG142" s="60" t="str">
        <x:f>IF(C142="","",IF(C142=C141,AG141,AG141+1))</x:f>
      </x:c>
      <x:c r="AH142" s="60" t="str">
        <x:f>IF(C142="","",IF(AG142=AG141,AH141,AA141))</x:f>
      </x:c>
      <x:c r="AI142" s="60" t="str">
        <x:f>IF(C142="","",IF(AG142=AG141,AI141,AC141))</x:f>
      </x:c>
      <x:c r="AJ142" s="60" t="str">
        <x:f>IF(C142="","",IF(AG142=AG141,AJ141,AE141))</x:f>
      </x:c>
      <x:c r="AK142" s="60" t="n">
        <x:f>IF(OR(H142="Vundet",H142="Tabt"),1,0)</x:f>
        <x:v>0</x:v>
      </x:c>
      <x:c r="AL142" s="60" t="n"/>
      <x:c r="AM142" s="60" t="n">
        <x:f>MAX($AG$10:$AG$209)</x:f>
        <x:v>4</x:v>
      </x:c>
      <x:c r="AN142" s="60" t="str">
        <x:f>IF(C142="","",IF(AND(C143&lt;&gt;"",C143&lt;&gt;C142),1,0))</x:f>
      </x:c>
      <x:c r="AO142" s="60" t="n"/>
      <x:c r="AP142" s="60" t="n">
        <x:f>MAX($AG$10:$AG$209)</x:f>
        <x:v>4</x:v>
      </x:c>
      <x:c r="AQ142" t="str">
        <x:f>AG142</x:f>
      </x:c>
      <x:c r="AR142" t="n">
        <x:f>C142</x:f>
        <x:v>0</x:v>
      </x:c>
      <x:c r="AS142" t="n">
        <x:f>E142</x:f>
        <x:v>0</x:v>
      </x:c>
    </x:row>
    <x:row r="143">
      <x:c r="A143" s="60" t="str">
        <x:f>IF(C143="","",COUNTIF($C$10:C143,"&lt;&gt;"))</x:f>
      </x:c>
      <x:c r="B143" s="122" t="n"/>
      <x:c r="C143" s="87" t="n"/>
      <x:c r="D143" s="87" t="n"/>
      <x:c r="E143" s="87" t="n"/>
      <x:c r="F143" s="87" t="n"/>
      <x:c r="G143" s="87" t="n"/>
      <x:c r="H143" s="87" t="n"/>
      <x:c r="I143" s="87" t="n"/>
      <x:c r="J143" s="87" t="n"/>
      <x:c r="K143" s="87" t="n"/>
      <x:c r="L143" s="87" t="n"/>
      <x:c r="M143" s="87" t="n"/>
      <x:c r="N143" s="87" t="n"/>
      <x:c r="O143" s="62" t="str">
        <x:f>IF(G143="","",IF(G143="Single",AH143,IF(G143="Double",AI143,AJ143)))</x:f>
      </x:c>
      <x:c r="P143" s="62" t="str">
        <x:f>IF(OR(G143="",H143="Ikke spillet"),"",IF(G143="Single",O143,IF(J143="","",(O143+J143)/2)))</x:f>
      </x:c>
      <x:c r="Q143" s="62" t="str">
        <x:f>IF(OR(G143="",H143="Ikke spillet"),"",IF(G143="Single",L143,IF(OR(L143="",N143=""),"",(L143+N143)/2)))</x:f>
      </x:c>
      <x:c r="R143" s="62" t="str">
        <x:f>IF(OR(P143="",Q143=""),"",Q143-P143)</x:f>
      </x:c>
      <x:c r="S143" s="62" t="str">
        <x:f>IF(H143="Ikke spillet","",IF(R143="","",IF(ABS(R143)&lt;0.000001,"Lige (0)",VLOOKUP(ABS(R143),'BD Pointtabel'!$A$4:$G$15,2,TRUE))))</x:f>
      </x:c>
      <x:c r="T143" s="62" t="str">
        <x:f>IF(H143="Ikke spillet","Ikke spillet",IF(H143="Planlagt","Planlagt",IF(OR(H143="",P143="",Q143=""),"",IF(H143="Vundet",IF(R143&gt;0,"Uventet sejr","Ventet sejr"),IF(R143&gt;=0,"Ventet nederlag","Uventet nederlag")))))</x:f>
      </x:c>
      <x:c r="U143" s="62" t="str">
        <x:f>IF(OR(H143="Ikke spillet",H143="Planlagt"),"",IF(OR(G143="",H143="",P143="",Q143=""),"",IF(AND(F143="Ungdomsholdturnering",OR(G143="Double",G143="Mix"),H143="Tabt"),0,IF(H143="Vundet",IF(R143&gt;0,VLOOKUP(ABS(R143),'BD Pointtabel'!$A$4:$G$15,4,TRUE),VLOOKUP(ABS(R143),'BD Pointtabel'!$A$4:$G$15,7,TRUE)),IF(R143&gt;=0,VLOOKUP(ABS(R143),'BD Pointtabel'!$A$4:$G$15,6,TRUE),VLOOKUP(ABS(R143),'BD Pointtabel'!$A$4:$G$15,3,TRUE))))))</x:f>
      </x:c>
      <x:c r="V143" s="62" t="str">
        <x:f>IF(G143="","",SUMIFS($U$10:U143,$AG$10:AG143,AG143,$G$10:G143,G143))</x:f>
      </x:c>
      <x:c r="W143" s="62" t="str">
        <x:f>IF(C143="","",IF(AN143&lt;&gt;1,"",IF(G143="Single",AA143,IF(G143="Double",AC143,AE143))))</x:f>
      </x:c>
      <x:c r="X143" s="62" t="str">
        <x:f>IF(C143="","",IF(AN143&lt;&gt;1,"",ROUND(((AA143*AB143+AC143*AD143+AE143*AF143)/(AB143+AD143+AF143))+IF((MAX(AA143,AC143,AE143)-(AA143+AC143+AE143-MAX(AA143,AC143,AE143)-MIN(AA143,AC143,AE143)))&lt;'Model &amp; indstillinger'!$E$16,'Model &amp; indstillinger'!$E$18,'Model &amp; indstillinger'!$E$20)*(MAX(AA143,AC143,AE143)-((AA143*AB143+AC143*AD143+AE143*AF143)/(AB143+AD143+AF143))),0)))</x:f>
      </x:c>
      <x:c r="Y143" s="62" t="str">
        <x:f>IF(X143="","",'Model &amp; indstillinger'!$B$4-X143)</x:f>
      </x:c>
      <x:c r="Z143" s="62" t="str">
        <x:f>IF(C143="","",IF(H143="Planlagt","Planlagt – ingen point endnu",IF(H143="Ikke spillet","Ikke spillet – tæller ikke som kamp og giver ingen point",IF(AN143=1,"STÆVNE SLUT – samlet point tilskrives","Frosset pointgrundlag – ingen tilskrivning endnu"))))</x:f>
      </x:c>
      <x:c r="AA143" s="60" t="str">
        <x:f>IF(C143="","",'Model &amp; indstillinger'!$B$6+SUMIFS($U$10:U143,$G$10:G143,"Single"))</x:f>
      </x:c>
      <x:c r="AB143" s="60" t="str">
        <x:f>IF(C143="","",'Model &amp; indstillinger'!$B$7+COUNTIFS($G$10:G143,"Single",$AK$10:AK143,1))</x:f>
      </x:c>
      <x:c r="AC143" s="60" t="str">
        <x:f>IF(C143="","",'Model &amp; indstillinger'!$B$8+SUMIFS($U$10:U143,$G$10:G143,"Double"))</x:f>
      </x:c>
      <x:c r="AD143" s="60" t="str">
        <x:f>IF(C143="","",'Model &amp; indstillinger'!$B$9+COUNTIFS($G$10:G143,"Double",$AK$10:AK143,1))</x:f>
      </x:c>
      <x:c r="AE143" s="60" t="str">
        <x:f>IF(C143="","",'Model &amp; indstillinger'!$B$10+SUMIFS($U$10:U143,$G$10:G143,"Mix"))</x:f>
      </x:c>
      <x:c r="AF143" s="60" t="str">
        <x:f>IF(C143="","",'Model &amp; indstillinger'!$B$11+COUNTIFS($G$10:G143,"Mix",$AK$10:AK143,1))</x:f>
      </x:c>
      <x:c r="AG143" s="60" t="str">
        <x:f>IF(C143="","",IF(C143=C142,AG142,AG142+1))</x:f>
      </x:c>
      <x:c r="AH143" s="60" t="str">
        <x:f>IF(C143="","",IF(AG143=AG142,AH142,AA142))</x:f>
      </x:c>
      <x:c r="AI143" s="60" t="str">
        <x:f>IF(C143="","",IF(AG143=AG142,AI142,AC142))</x:f>
      </x:c>
      <x:c r="AJ143" s="60" t="str">
        <x:f>IF(C143="","",IF(AG143=AG142,AJ142,AE142))</x:f>
      </x:c>
      <x:c r="AK143" s="60" t="n">
        <x:f>IF(OR(H143="Vundet",H143="Tabt"),1,0)</x:f>
        <x:v>0</x:v>
      </x:c>
      <x:c r="AL143" s="60" t="n"/>
      <x:c r="AM143" s="60" t="n">
        <x:f>MAX($AG$10:$AG$209)</x:f>
        <x:v>4</x:v>
      </x:c>
      <x:c r="AN143" s="60" t="str">
        <x:f>IF(C143="","",IF(AND(C144&lt;&gt;"",C144&lt;&gt;C143),1,0))</x:f>
      </x:c>
      <x:c r="AO143" s="60" t="n"/>
      <x:c r="AP143" s="60" t="n">
        <x:f>MAX($AG$10:$AG$209)</x:f>
        <x:v>4</x:v>
      </x:c>
      <x:c r="AQ143" t="str">
        <x:f>AG143</x:f>
      </x:c>
      <x:c r="AR143" t="n">
        <x:f>C143</x:f>
        <x:v>0</x:v>
      </x:c>
      <x:c r="AS143" t="n">
        <x:f>E143</x:f>
        <x:v>0</x:v>
      </x:c>
    </x:row>
    <x:row r="144">
      <x:c r="A144" s="60" t="str">
        <x:f>IF(C144="","",COUNTIF($C$10:C144,"&lt;&gt;"))</x:f>
      </x:c>
      <x:c r="B144" s="122" t="n"/>
      <x:c r="C144" s="87" t="n"/>
      <x:c r="D144" s="87" t="n"/>
      <x:c r="E144" s="87" t="n"/>
      <x:c r="F144" s="87" t="n"/>
      <x:c r="G144" s="87" t="n"/>
      <x:c r="H144" s="87" t="n"/>
      <x:c r="I144" s="87" t="n"/>
      <x:c r="J144" s="87" t="n"/>
      <x:c r="K144" s="87" t="n"/>
      <x:c r="L144" s="87" t="n"/>
      <x:c r="M144" s="87" t="n"/>
      <x:c r="N144" s="87" t="n"/>
      <x:c r="O144" s="62" t="str">
        <x:f>IF(G144="","",IF(G144="Single",AH144,IF(G144="Double",AI144,AJ144)))</x:f>
      </x:c>
      <x:c r="P144" s="62" t="str">
        <x:f>IF(OR(G144="",H144="Ikke spillet"),"",IF(G144="Single",O144,IF(J144="","",(O144+J144)/2)))</x:f>
      </x:c>
      <x:c r="Q144" s="62" t="str">
        <x:f>IF(OR(G144="",H144="Ikke spillet"),"",IF(G144="Single",L144,IF(OR(L144="",N144=""),"",(L144+N144)/2)))</x:f>
      </x:c>
      <x:c r="R144" s="62" t="str">
        <x:f>IF(OR(P144="",Q144=""),"",Q144-P144)</x:f>
      </x:c>
      <x:c r="S144" s="62" t="str">
        <x:f>IF(H144="Ikke spillet","",IF(R144="","",IF(ABS(R144)&lt;0.000001,"Lige (0)",VLOOKUP(ABS(R144),'BD Pointtabel'!$A$4:$G$15,2,TRUE))))</x:f>
      </x:c>
      <x:c r="T144" s="62" t="str">
        <x:f>IF(H144="Ikke spillet","Ikke spillet",IF(H144="Planlagt","Planlagt",IF(OR(H144="",P144="",Q144=""),"",IF(H144="Vundet",IF(R144&gt;0,"Uventet sejr","Ventet sejr"),IF(R144&gt;=0,"Ventet nederlag","Uventet nederlag")))))</x:f>
      </x:c>
      <x:c r="U144" s="62" t="str">
        <x:f>IF(OR(H144="Ikke spillet",H144="Planlagt"),"",IF(OR(G144="",H144="",P144="",Q144=""),"",IF(AND(F144="Ungdomsholdturnering",OR(G144="Double",G144="Mix"),H144="Tabt"),0,IF(H144="Vundet",IF(R144&gt;0,VLOOKUP(ABS(R144),'BD Pointtabel'!$A$4:$G$15,4,TRUE),VLOOKUP(ABS(R144),'BD Pointtabel'!$A$4:$G$15,7,TRUE)),IF(R144&gt;=0,VLOOKUP(ABS(R144),'BD Pointtabel'!$A$4:$G$15,6,TRUE),VLOOKUP(ABS(R144),'BD Pointtabel'!$A$4:$G$15,3,TRUE))))))</x:f>
      </x:c>
      <x:c r="V144" s="62" t="str">
        <x:f>IF(G144="","",SUMIFS($U$10:U144,$AG$10:AG144,AG144,$G$10:G144,G144))</x:f>
      </x:c>
      <x:c r="W144" s="62" t="str">
        <x:f>IF(C144="","",IF(AN144&lt;&gt;1,"",IF(G144="Single",AA144,IF(G144="Double",AC144,AE144))))</x:f>
      </x:c>
      <x:c r="X144" s="62" t="str">
        <x:f>IF(C144="","",IF(AN144&lt;&gt;1,"",ROUND(((AA144*AB144+AC144*AD144+AE144*AF144)/(AB144+AD144+AF144))+IF((MAX(AA144,AC144,AE144)-(AA144+AC144+AE144-MAX(AA144,AC144,AE144)-MIN(AA144,AC144,AE144)))&lt;'Model &amp; indstillinger'!$E$16,'Model &amp; indstillinger'!$E$18,'Model &amp; indstillinger'!$E$20)*(MAX(AA144,AC144,AE144)-((AA144*AB144+AC144*AD144+AE144*AF144)/(AB144+AD144+AF144))),0)))</x:f>
      </x:c>
      <x:c r="Y144" s="62" t="str">
        <x:f>IF(X144="","",'Model &amp; indstillinger'!$B$4-X144)</x:f>
      </x:c>
      <x:c r="Z144" s="62" t="str">
        <x:f>IF(C144="","",IF(H144="Planlagt","Planlagt – ingen point endnu",IF(H144="Ikke spillet","Ikke spillet – tæller ikke som kamp og giver ingen point",IF(AN144=1,"STÆVNE SLUT – samlet point tilskrives","Frosset pointgrundlag – ingen tilskrivning endnu"))))</x:f>
      </x:c>
      <x:c r="AA144" s="60" t="str">
        <x:f>IF(C144="","",'Model &amp; indstillinger'!$B$6+SUMIFS($U$10:U144,$G$10:G144,"Single"))</x:f>
      </x:c>
      <x:c r="AB144" s="60" t="str">
        <x:f>IF(C144="","",'Model &amp; indstillinger'!$B$7+COUNTIFS($G$10:G144,"Single",$AK$10:AK144,1))</x:f>
      </x:c>
      <x:c r="AC144" s="60" t="str">
        <x:f>IF(C144="","",'Model &amp; indstillinger'!$B$8+SUMIFS($U$10:U144,$G$10:G144,"Double"))</x:f>
      </x:c>
      <x:c r="AD144" s="60" t="str">
        <x:f>IF(C144="","",'Model &amp; indstillinger'!$B$9+COUNTIFS($G$10:G144,"Double",$AK$10:AK144,1))</x:f>
      </x:c>
      <x:c r="AE144" s="60" t="str">
        <x:f>IF(C144="","",'Model &amp; indstillinger'!$B$10+SUMIFS($U$10:U144,$G$10:G144,"Mix"))</x:f>
      </x:c>
      <x:c r="AF144" s="60" t="str">
        <x:f>IF(C144="","",'Model &amp; indstillinger'!$B$11+COUNTIFS($G$10:G144,"Mix",$AK$10:AK144,1))</x:f>
      </x:c>
      <x:c r="AG144" s="60" t="str">
        <x:f>IF(C144="","",IF(C144=C143,AG143,AG143+1))</x:f>
      </x:c>
      <x:c r="AH144" s="60" t="str">
        <x:f>IF(C144="","",IF(AG144=AG143,AH143,AA143))</x:f>
      </x:c>
      <x:c r="AI144" s="60" t="str">
        <x:f>IF(C144="","",IF(AG144=AG143,AI143,AC143))</x:f>
      </x:c>
      <x:c r="AJ144" s="60" t="str">
        <x:f>IF(C144="","",IF(AG144=AG143,AJ143,AE143))</x:f>
      </x:c>
      <x:c r="AK144" s="60" t="n">
        <x:f>IF(OR(H144="Vundet",H144="Tabt"),1,0)</x:f>
        <x:v>0</x:v>
      </x:c>
      <x:c r="AL144" s="60" t="n"/>
      <x:c r="AM144" s="60" t="n">
        <x:f>MAX($AG$10:$AG$209)</x:f>
        <x:v>4</x:v>
      </x:c>
      <x:c r="AN144" s="60" t="str">
        <x:f>IF(C144="","",IF(AND(C145&lt;&gt;"",C145&lt;&gt;C144),1,0))</x:f>
      </x:c>
      <x:c r="AO144" s="60" t="n"/>
      <x:c r="AP144" s="60" t="n">
        <x:f>MAX($AG$10:$AG$209)</x:f>
        <x:v>4</x:v>
      </x:c>
      <x:c r="AQ144" t="str">
        <x:f>AG144</x:f>
      </x:c>
      <x:c r="AR144" t="n">
        <x:f>C144</x:f>
        <x:v>0</x:v>
      </x:c>
      <x:c r="AS144" t="n">
        <x:f>E144</x:f>
        <x:v>0</x:v>
      </x:c>
    </x:row>
    <x:row r="145">
      <x:c r="A145" s="60" t="str">
        <x:f>IF(C145="","",COUNTIF($C$10:C145,"&lt;&gt;"))</x:f>
      </x:c>
      <x:c r="B145" s="122" t="n"/>
      <x:c r="C145" s="87" t="n"/>
      <x:c r="D145" s="87" t="n"/>
      <x:c r="E145" s="87" t="n"/>
      <x:c r="F145" s="87" t="n"/>
      <x:c r="G145" s="87" t="n"/>
      <x:c r="H145" s="87" t="n"/>
      <x:c r="I145" s="87" t="n"/>
      <x:c r="J145" s="87" t="n"/>
      <x:c r="K145" s="87" t="n"/>
      <x:c r="L145" s="87" t="n"/>
      <x:c r="M145" s="87" t="n"/>
      <x:c r="N145" s="87" t="n"/>
      <x:c r="O145" s="62" t="str">
        <x:f>IF(G145="","",IF(G145="Single",AH145,IF(G145="Double",AI145,AJ145)))</x:f>
      </x:c>
      <x:c r="P145" s="62" t="str">
        <x:f>IF(OR(G145="",H145="Ikke spillet"),"",IF(G145="Single",O145,IF(J145="","",(O145+J145)/2)))</x:f>
      </x:c>
      <x:c r="Q145" s="62" t="str">
        <x:f>IF(OR(G145="",H145="Ikke spillet"),"",IF(G145="Single",L145,IF(OR(L145="",N145=""),"",(L145+N145)/2)))</x:f>
      </x:c>
      <x:c r="R145" s="62" t="str">
        <x:f>IF(OR(P145="",Q145=""),"",Q145-P145)</x:f>
      </x:c>
      <x:c r="S145" s="62" t="str">
        <x:f>IF(H145="Ikke spillet","",IF(R145="","",IF(ABS(R145)&lt;0.000001,"Lige (0)",VLOOKUP(ABS(R145),'BD Pointtabel'!$A$4:$G$15,2,TRUE))))</x:f>
      </x:c>
      <x:c r="T145" s="62" t="str">
        <x:f>IF(H145="Ikke spillet","Ikke spillet",IF(H145="Planlagt","Planlagt",IF(OR(H145="",P145="",Q145=""),"",IF(H145="Vundet",IF(R145&gt;0,"Uventet sejr","Ventet sejr"),IF(R145&gt;=0,"Ventet nederlag","Uventet nederlag")))))</x:f>
      </x:c>
      <x:c r="U145" s="62" t="str">
        <x:f>IF(OR(H145="Ikke spillet",H145="Planlagt"),"",IF(OR(G145="",H145="",P145="",Q145=""),"",IF(AND(F145="Ungdomsholdturnering",OR(G145="Double",G145="Mix"),H145="Tabt"),0,IF(H145="Vundet",IF(R145&gt;0,VLOOKUP(ABS(R145),'BD Pointtabel'!$A$4:$G$15,4,TRUE),VLOOKUP(ABS(R145),'BD Pointtabel'!$A$4:$G$15,7,TRUE)),IF(R145&gt;=0,VLOOKUP(ABS(R145),'BD Pointtabel'!$A$4:$G$15,6,TRUE),VLOOKUP(ABS(R145),'BD Pointtabel'!$A$4:$G$15,3,TRUE))))))</x:f>
      </x:c>
      <x:c r="V145" s="62" t="str">
        <x:f>IF(G145="","",SUMIFS($U$10:U145,$AG$10:AG145,AG145,$G$10:G145,G145))</x:f>
      </x:c>
      <x:c r="W145" s="62" t="str">
        <x:f>IF(C145="","",IF(AN145&lt;&gt;1,"",IF(G145="Single",AA145,IF(G145="Double",AC145,AE145))))</x:f>
      </x:c>
      <x:c r="X145" s="62" t="str">
        <x:f>IF(C145="","",IF(AN145&lt;&gt;1,"",ROUND(((AA145*AB145+AC145*AD145+AE145*AF145)/(AB145+AD145+AF145))+IF((MAX(AA145,AC145,AE145)-(AA145+AC145+AE145-MAX(AA145,AC145,AE145)-MIN(AA145,AC145,AE145)))&lt;'Model &amp; indstillinger'!$E$16,'Model &amp; indstillinger'!$E$18,'Model &amp; indstillinger'!$E$20)*(MAX(AA145,AC145,AE145)-((AA145*AB145+AC145*AD145+AE145*AF145)/(AB145+AD145+AF145))),0)))</x:f>
      </x:c>
      <x:c r="Y145" s="62" t="str">
        <x:f>IF(X145="","",'Model &amp; indstillinger'!$B$4-X145)</x:f>
      </x:c>
      <x:c r="Z145" s="62" t="str">
        <x:f>IF(C145="","",IF(H145="Planlagt","Planlagt – ingen point endnu",IF(H145="Ikke spillet","Ikke spillet – tæller ikke som kamp og giver ingen point",IF(AN145=1,"STÆVNE SLUT – samlet point tilskrives","Frosset pointgrundlag – ingen tilskrivning endnu"))))</x:f>
      </x:c>
      <x:c r="AA145" s="60" t="str">
        <x:f>IF(C145="","",'Model &amp; indstillinger'!$B$6+SUMIFS($U$10:U145,$G$10:G145,"Single"))</x:f>
      </x:c>
      <x:c r="AB145" s="60" t="str">
        <x:f>IF(C145="","",'Model &amp; indstillinger'!$B$7+COUNTIFS($G$10:G145,"Single",$AK$10:AK145,1))</x:f>
      </x:c>
      <x:c r="AC145" s="60" t="str">
        <x:f>IF(C145="","",'Model &amp; indstillinger'!$B$8+SUMIFS($U$10:U145,$G$10:G145,"Double"))</x:f>
      </x:c>
      <x:c r="AD145" s="60" t="str">
        <x:f>IF(C145="","",'Model &amp; indstillinger'!$B$9+COUNTIFS($G$10:G145,"Double",$AK$10:AK145,1))</x:f>
      </x:c>
      <x:c r="AE145" s="60" t="str">
        <x:f>IF(C145="","",'Model &amp; indstillinger'!$B$10+SUMIFS($U$10:U145,$G$10:G145,"Mix"))</x:f>
      </x:c>
      <x:c r="AF145" s="60" t="str">
        <x:f>IF(C145="","",'Model &amp; indstillinger'!$B$11+COUNTIFS($G$10:G145,"Mix",$AK$10:AK145,1))</x:f>
      </x:c>
      <x:c r="AG145" s="60" t="str">
        <x:f>IF(C145="","",IF(C145=C144,AG144,AG144+1))</x:f>
      </x:c>
      <x:c r="AH145" s="60" t="str">
        <x:f>IF(C145="","",IF(AG145=AG144,AH144,AA144))</x:f>
      </x:c>
      <x:c r="AI145" s="60" t="str">
        <x:f>IF(C145="","",IF(AG145=AG144,AI144,AC144))</x:f>
      </x:c>
      <x:c r="AJ145" s="60" t="str">
        <x:f>IF(C145="","",IF(AG145=AG144,AJ144,AE144))</x:f>
      </x:c>
      <x:c r="AK145" s="60" t="n">
        <x:f>IF(OR(H145="Vundet",H145="Tabt"),1,0)</x:f>
        <x:v>0</x:v>
      </x:c>
      <x:c r="AL145" s="60" t="n"/>
      <x:c r="AM145" s="60" t="n">
        <x:f>MAX($AG$10:$AG$209)</x:f>
        <x:v>4</x:v>
      </x:c>
      <x:c r="AN145" s="60" t="str">
        <x:f>IF(C145="","",IF(AND(C146&lt;&gt;"",C146&lt;&gt;C145),1,0))</x:f>
      </x:c>
      <x:c r="AO145" s="60" t="n"/>
      <x:c r="AP145" s="60" t="n">
        <x:f>MAX($AG$10:$AG$209)</x:f>
        <x:v>4</x:v>
      </x:c>
      <x:c r="AQ145" t="str">
        <x:f>AG145</x:f>
      </x:c>
      <x:c r="AR145" t="n">
        <x:f>C145</x:f>
        <x:v>0</x:v>
      </x:c>
      <x:c r="AS145" t="n">
        <x:f>E145</x:f>
        <x:v>0</x:v>
      </x:c>
    </x:row>
    <x:row r="146">
      <x:c r="A146" s="60" t="str">
        <x:f>IF(C146="","",COUNTIF($C$10:C146,"&lt;&gt;"))</x:f>
      </x:c>
      <x:c r="B146" s="122" t="n"/>
      <x:c r="C146" s="87" t="n"/>
      <x:c r="D146" s="87" t="n"/>
      <x:c r="E146" s="87" t="n"/>
      <x:c r="F146" s="87" t="n"/>
      <x:c r="G146" s="87" t="n"/>
      <x:c r="H146" s="87" t="n"/>
      <x:c r="I146" s="87" t="n"/>
      <x:c r="J146" s="87" t="n"/>
      <x:c r="K146" s="87" t="n"/>
      <x:c r="L146" s="87" t="n"/>
      <x:c r="M146" s="87" t="n"/>
      <x:c r="N146" s="87" t="n"/>
      <x:c r="O146" s="62" t="str">
        <x:f>IF(G146="","",IF(G146="Single",AH146,IF(G146="Double",AI146,AJ146)))</x:f>
      </x:c>
      <x:c r="P146" s="62" t="str">
        <x:f>IF(OR(G146="",H146="Ikke spillet"),"",IF(G146="Single",O146,IF(J146="","",(O146+J146)/2)))</x:f>
      </x:c>
      <x:c r="Q146" s="62" t="str">
        <x:f>IF(OR(G146="",H146="Ikke spillet"),"",IF(G146="Single",L146,IF(OR(L146="",N146=""),"",(L146+N146)/2)))</x:f>
      </x:c>
      <x:c r="R146" s="62" t="str">
        <x:f>IF(OR(P146="",Q146=""),"",Q146-P146)</x:f>
      </x:c>
      <x:c r="S146" s="62" t="str">
        <x:f>IF(H146="Ikke spillet","",IF(R146="","",IF(ABS(R146)&lt;0.000001,"Lige (0)",VLOOKUP(ABS(R146),'BD Pointtabel'!$A$4:$G$15,2,TRUE))))</x:f>
      </x:c>
      <x:c r="T146" s="62" t="str">
        <x:f>IF(H146="Ikke spillet","Ikke spillet",IF(H146="Planlagt","Planlagt",IF(OR(H146="",P146="",Q146=""),"",IF(H146="Vundet",IF(R146&gt;0,"Uventet sejr","Ventet sejr"),IF(R146&gt;=0,"Ventet nederlag","Uventet nederlag")))))</x:f>
      </x:c>
      <x:c r="U146" s="62" t="str">
        <x:f>IF(OR(H146="Ikke spillet",H146="Planlagt"),"",IF(OR(G146="",H146="",P146="",Q146=""),"",IF(AND(F146="Ungdomsholdturnering",OR(G146="Double",G146="Mix"),H146="Tabt"),0,IF(H146="Vundet",IF(R146&gt;0,VLOOKUP(ABS(R146),'BD Pointtabel'!$A$4:$G$15,4,TRUE),VLOOKUP(ABS(R146),'BD Pointtabel'!$A$4:$G$15,7,TRUE)),IF(R146&gt;=0,VLOOKUP(ABS(R146),'BD Pointtabel'!$A$4:$G$15,6,TRUE),VLOOKUP(ABS(R146),'BD Pointtabel'!$A$4:$G$15,3,TRUE))))))</x:f>
      </x:c>
      <x:c r="V146" s="62" t="str">
        <x:f>IF(G146="","",SUMIFS($U$10:U146,$AG$10:AG146,AG146,$G$10:G146,G146))</x:f>
      </x:c>
      <x:c r="W146" s="62" t="str">
        <x:f>IF(C146="","",IF(AN146&lt;&gt;1,"",IF(G146="Single",AA146,IF(G146="Double",AC146,AE146))))</x:f>
      </x:c>
      <x:c r="X146" s="62" t="str">
        <x:f>IF(C146="","",IF(AN146&lt;&gt;1,"",ROUND(((AA146*AB146+AC146*AD146+AE146*AF146)/(AB146+AD146+AF146))+IF((MAX(AA146,AC146,AE146)-(AA146+AC146+AE146-MAX(AA146,AC146,AE146)-MIN(AA146,AC146,AE146)))&lt;'Model &amp; indstillinger'!$E$16,'Model &amp; indstillinger'!$E$18,'Model &amp; indstillinger'!$E$20)*(MAX(AA146,AC146,AE146)-((AA146*AB146+AC146*AD146+AE146*AF146)/(AB146+AD146+AF146))),0)))</x:f>
      </x:c>
      <x:c r="Y146" s="62" t="str">
        <x:f>IF(X146="","",'Model &amp; indstillinger'!$B$4-X146)</x:f>
      </x:c>
      <x:c r="Z146" s="62" t="str">
        <x:f>IF(C146="","",IF(H146="Planlagt","Planlagt – ingen point endnu",IF(H146="Ikke spillet","Ikke spillet – tæller ikke som kamp og giver ingen point",IF(AN146=1,"STÆVNE SLUT – samlet point tilskrives","Frosset pointgrundlag – ingen tilskrivning endnu"))))</x:f>
      </x:c>
      <x:c r="AA146" s="60" t="str">
        <x:f>IF(C146="","",'Model &amp; indstillinger'!$B$6+SUMIFS($U$10:U146,$G$10:G146,"Single"))</x:f>
      </x:c>
      <x:c r="AB146" s="60" t="str">
        <x:f>IF(C146="","",'Model &amp; indstillinger'!$B$7+COUNTIFS($G$10:G146,"Single",$AK$10:AK146,1))</x:f>
      </x:c>
      <x:c r="AC146" s="60" t="str">
        <x:f>IF(C146="","",'Model &amp; indstillinger'!$B$8+SUMIFS($U$10:U146,$G$10:G146,"Double"))</x:f>
      </x:c>
      <x:c r="AD146" s="60" t="str">
        <x:f>IF(C146="","",'Model &amp; indstillinger'!$B$9+COUNTIFS($G$10:G146,"Double",$AK$10:AK146,1))</x:f>
      </x:c>
      <x:c r="AE146" s="60" t="str">
        <x:f>IF(C146="","",'Model &amp; indstillinger'!$B$10+SUMIFS($U$10:U146,$G$10:G146,"Mix"))</x:f>
      </x:c>
      <x:c r="AF146" s="60" t="str">
        <x:f>IF(C146="","",'Model &amp; indstillinger'!$B$11+COUNTIFS($G$10:G146,"Mix",$AK$10:AK146,1))</x:f>
      </x:c>
      <x:c r="AG146" s="60" t="str">
        <x:f>IF(C146="","",IF(C146=C145,AG145,AG145+1))</x:f>
      </x:c>
      <x:c r="AH146" s="60" t="str">
        <x:f>IF(C146="","",IF(AG146=AG145,AH145,AA145))</x:f>
      </x:c>
      <x:c r="AI146" s="60" t="str">
        <x:f>IF(C146="","",IF(AG146=AG145,AI145,AC145))</x:f>
      </x:c>
      <x:c r="AJ146" s="60" t="str">
        <x:f>IF(C146="","",IF(AG146=AG145,AJ145,AE145))</x:f>
      </x:c>
      <x:c r="AK146" s="60" t="n">
        <x:f>IF(OR(H146="Vundet",H146="Tabt"),1,0)</x:f>
        <x:v>0</x:v>
      </x:c>
      <x:c r="AL146" s="60" t="n"/>
      <x:c r="AM146" s="60" t="n">
        <x:f>MAX($AG$10:$AG$209)</x:f>
        <x:v>4</x:v>
      </x:c>
      <x:c r="AN146" s="60" t="str">
        <x:f>IF(C146="","",IF(AND(C147&lt;&gt;"",C147&lt;&gt;C146),1,0))</x:f>
      </x:c>
      <x:c r="AO146" s="60" t="n"/>
      <x:c r="AP146" s="60" t="n">
        <x:f>MAX($AG$10:$AG$209)</x:f>
        <x:v>4</x:v>
      </x:c>
      <x:c r="AQ146" t="str">
        <x:f>AG146</x:f>
      </x:c>
      <x:c r="AR146" t="n">
        <x:f>C146</x:f>
        <x:v>0</x:v>
      </x:c>
      <x:c r="AS146" t="n">
        <x:f>E146</x:f>
        <x:v>0</x:v>
      </x:c>
    </x:row>
    <x:row r="147">
      <x:c r="A147" s="60" t="str">
        <x:f>IF(C147="","",COUNTIF($C$10:C147,"&lt;&gt;"))</x:f>
      </x:c>
      <x:c r="B147" s="122" t="n"/>
      <x:c r="C147" s="87" t="n"/>
      <x:c r="D147" s="87" t="n"/>
      <x:c r="E147" s="87" t="n"/>
      <x:c r="F147" s="87" t="n"/>
      <x:c r="G147" s="87" t="n"/>
      <x:c r="H147" s="87" t="n"/>
      <x:c r="I147" s="87" t="n"/>
      <x:c r="J147" s="87" t="n"/>
      <x:c r="K147" s="87" t="n"/>
      <x:c r="L147" s="87" t="n"/>
      <x:c r="M147" s="87" t="n"/>
      <x:c r="N147" s="87" t="n"/>
      <x:c r="O147" s="62" t="str">
        <x:f>IF(G147="","",IF(G147="Single",AH147,IF(G147="Double",AI147,AJ147)))</x:f>
      </x:c>
      <x:c r="P147" s="62" t="str">
        <x:f>IF(OR(G147="",H147="Ikke spillet"),"",IF(G147="Single",O147,IF(J147="","",(O147+J147)/2)))</x:f>
      </x:c>
      <x:c r="Q147" s="62" t="str">
        <x:f>IF(OR(G147="",H147="Ikke spillet"),"",IF(G147="Single",L147,IF(OR(L147="",N147=""),"",(L147+N147)/2)))</x:f>
      </x:c>
      <x:c r="R147" s="62" t="str">
        <x:f>IF(OR(P147="",Q147=""),"",Q147-P147)</x:f>
      </x:c>
      <x:c r="S147" s="62" t="str">
        <x:f>IF(H147="Ikke spillet","",IF(R147="","",IF(ABS(R147)&lt;0.000001,"Lige (0)",VLOOKUP(ABS(R147),'BD Pointtabel'!$A$4:$G$15,2,TRUE))))</x:f>
      </x:c>
      <x:c r="T147" s="62" t="str">
        <x:f>IF(H147="Ikke spillet","Ikke spillet",IF(H147="Planlagt","Planlagt",IF(OR(H147="",P147="",Q147=""),"",IF(H147="Vundet",IF(R147&gt;0,"Uventet sejr","Ventet sejr"),IF(R147&gt;=0,"Ventet nederlag","Uventet nederlag")))))</x:f>
      </x:c>
      <x:c r="U147" s="62" t="str">
        <x:f>IF(OR(H147="Ikke spillet",H147="Planlagt"),"",IF(OR(G147="",H147="",P147="",Q147=""),"",IF(AND(F147="Ungdomsholdturnering",OR(G147="Double",G147="Mix"),H147="Tabt"),0,IF(H147="Vundet",IF(R147&gt;0,VLOOKUP(ABS(R147),'BD Pointtabel'!$A$4:$G$15,4,TRUE),VLOOKUP(ABS(R147),'BD Pointtabel'!$A$4:$G$15,7,TRUE)),IF(R147&gt;=0,VLOOKUP(ABS(R147),'BD Pointtabel'!$A$4:$G$15,6,TRUE),VLOOKUP(ABS(R147),'BD Pointtabel'!$A$4:$G$15,3,TRUE))))))</x:f>
      </x:c>
      <x:c r="V147" s="62" t="str">
        <x:f>IF(G147="","",SUMIFS($U$10:U147,$AG$10:AG147,AG147,$G$10:G147,G147))</x:f>
      </x:c>
      <x:c r="W147" s="62" t="str">
        <x:f>IF(C147="","",IF(AN147&lt;&gt;1,"",IF(G147="Single",AA147,IF(G147="Double",AC147,AE147))))</x:f>
      </x:c>
      <x:c r="X147" s="62" t="str">
        <x:f>IF(C147="","",IF(AN147&lt;&gt;1,"",ROUND(((AA147*AB147+AC147*AD147+AE147*AF147)/(AB147+AD147+AF147))+IF((MAX(AA147,AC147,AE147)-(AA147+AC147+AE147-MAX(AA147,AC147,AE147)-MIN(AA147,AC147,AE147)))&lt;'Model &amp; indstillinger'!$E$16,'Model &amp; indstillinger'!$E$18,'Model &amp; indstillinger'!$E$20)*(MAX(AA147,AC147,AE147)-((AA147*AB147+AC147*AD147+AE147*AF147)/(AB147+AD147+AF147))),0)))</x:f>
      </x:c>
      <x:c r="Y147" s="62" t="str">
        <x:f>IF(X147="","",'Model &amp; indstillinger'!$B$4-X147)</x:f>
      </x:c>
      <x:c r="Z147" s="62" t="str">
        <x:f>IF(C147="","",IF(H147="Planlagt","Planlagt – ingen point endnu",IF(H147="Ikke spillet","Ikke spillet – tæller ikke som kamp og giver ingen point",IF(AN147=1,"STÆVNE SLUT – samlet point tilskrives","Frosset pointgrundlag – ingen tilskrivning endnu"))))</x:f>
      </x:c>
      <x:c r="AA147" s="60" t="str">
        <x:f>IF(C147="","",'Model &amp; indstillinger'!$B$6+SUMIFS($U$10:U147,$G$10:G147,"Single"))</x:f>
      </x:c>
      <x:c r="AB147" s="60" t="str">
        <x:f>IF(C147="","",'Model &amp; indstillinger'!$B$7+COUNTIFS($G$10:G147,"Single",$AK$10:AK147,1))</x:f>
      </x:c>
      <x:c r="AC147" s="60" t="str">
        <x:f>IF(C147="","",'Model &amp; indstillinger'!$B$8+SUMIFS($U$10:U147,$G$10:G147,"Double"))</x:f>
      </x:c>
      <x:c r="AD147" s="60" t="str">
        <x:f>IF(C147="","",'Model &amp; indstillinger'!$B$9+COUNTIFS($G$10:G147,"Double",$AK$10:AK147,1))</x:f>
      </x:c>
      <x:c r="AE147" s="60" t="str">
        <x:f>IF(C147="","",'Model &amp; indstillinger'!$B$10+SUMIFS($U$10:U147,$G$10:G147,"Mix"))</x:f>
      </x:c>
      <x:c r="AF147" s="60" t="str">
        <x:f>IF(C147="","",'Model &amp; indstillinger'!$B$11+COUNTIFS($G$10:G147,"Mix",$AK$10:AK147,1))</x:f>
      </x:c>
      <x:c r="AG147" s="60" t="str">
        <x:f>IF(C147="","",IF(C147=C146,AG146,AG146+1))</x:f>
      </x:c>
      <x:c r="AH147" s="60" t="str">
        <x:f>IF(C147="","",IF(AG147=AG146,AH146,AA146))</x:f>
      </x:c>
      <x:c r="AI147" s="60" t="str">
        <x:f>IF(C147="","",IF(AG147=AG146,AI146,AC146))</x:f>
      </x:c>
      <x:c r="AJ147" s="60" t="str">
        <x:f>IF(C147="","",IF(AG147=AG146,AJ146,AE146))</x:f>
      </x:c>
      <x:c r="AK147" s="60" t="n">
        <x:f>IF(OR(H147="Vundet",H147="Tabt"),1,0)</x:f>
        <x:v>0</x:v>
      </x:c>
      <x:c r="AL147" s="60" t="n"/>
      <x:c r="AM147" s="60" t="n">
        <x:f>MAX($AG$10:$AG$209)</x:f>
        <x:v>4</x:v>
      </x:c>
      <x:c r="AN147" s="60" t="str">
        <x:f>IF(C147="","",IF(AND(C148&lt;&gt;"",C148&lt;&gt;C147),1,0))</x:f>
      </x:c>
      <x:c r="AO147" s="60" t="n"/>
      <x:c r="AP147" s="60" t="n">
        <x:f>MAX($AG$10:$AG$209)</x:f>
        <x:v>4</x:v>
      </x:c>
      <x:c r="AQ147" t="str">
        <x:f>AG147</x:f>
      </x:c>
      <x:c r="AR147" t="n">
        <x:f>C147</x:f>
        <x:v>0</x:v>
      </x:c>
      <x:c r="AS147" t="n">
        <x:f>E147</x:f>
        <x:v>0</x:v>
      </x:c>
    </x:row>
    <x:row r="148">
      <x:c r="A148" s="60" t="str">
        <x:f>IF(C148="","",COUNTIF($C$10:C148,"&lt;&gt;"))</x:f>
      </x:c>
      <x:c r="B148" s="122" t="n"/>
      <x:c r="C148" s="87" t="n"/>
      <x:c r="D148" s="87" t="n"/>
      <x:c r="E148" s="87" t="n"/>
      <x:c r="F148" s="87" t="n"/>
      <x:c r="G148" s="87" t="n"/>
      <x:c r="H148" s="87" t="n"/>
      <x:c r="I148" s="87" t="n"/>
      <x:c r="J148" s="87" t="n"/>
      <x:c r="K148" s="87" t="n"/>
      <x:c r="L148" s="87" t="n"/>
      <x:c r="M148" s="87" t="n"/>
      <x:c r="N148" s="87" t="n"/>
      <x:c r="O148" s="62" t="str">
        <x:f>IF(G148="","",IF(G148="Single",AH148,IF(G148="Double",AI148,AJ148)))</x:f>
      </x:c>
      <x:c r="P148" s="62" t="str">
        <x:f>IF(OR(G148="",H148="Ikke spillet"),"",IF(G148="Single",O148,IF(J148="","",(O148+J148)/2)))</x:f>
      </x:c>
      <x:c r="Q148" s="62" t="str">
        <x:f>IF(OR(G148="",H148="Ikke spillet"),"",IF(G148="Single",L148,IF(OR(L148="",N148=""),"",(L148+N148)/2)))</x:f>
      </x:c>
      <x:c r="R148" s="62" t="str">
        <x:f>IF(OR(P148="",Q148=""),"",Q148-P148)</x:f>
      </x:c>
      <x:c r="S148" s="62" t="str">
        <x:f>IF(H148="Ikke spillet","",IF(R148="","",IF(ABS(R148)&lt;0.000001,"Lige (0)",VLOOKUP(ABS(R148),'BD Pointtabel'!$A$4:$G$15,2,TRUE))))</x:f>
      </x:c>
      <x:c r="T148" s="62" t="str">
        <x:f>IF(H148="Ikke spillet","Ikke spillet",IF(H148="Planlagt","Planlagt",IF(OR(H148="",P148="",Q148=""),"",IF(H148="Vundet",IF(R148&gt;0,"Uventet sejr","Ventet sejr"),IF(R148&gt;=0,"Ventet nederlag","Uventet nederlag")))))</x:f>
      </x:c>
      <x:c r="U148" s="62" t="str">
        <x:f>IF(OR(H148="Ikke spillet",H148="Planlagt"),"",IF(OR(G148="",H148="",P148="",Q148=""),"",IF(AND(F148="Ungdomsholdturnering",OR(G148="Double",G148="Mix"),H148="Tabt"),0,IF(H148="Vundet",IF(R148&gt;0,VLOOKUP(ABS(R148),'BD Pointtabel'!$A$4:$G$15,4,TRUE),VLOOKUP(ABS(R148),'BD Pointtabel'!$A$4:$G$15,7,TRUE)),IF(R148&gt;=0,VLOOKUP(ABS(R148),'BD Pointtabel'!$A$4:$G$15,6,TRUE),VLOOKUP(ABS(R148),'BD Pointtabel'!$A$4:$G$15,3,TRUE))))))</x:f>
      </x:c>
      <x:c r="V148" s="62" t="str">
        <x:f>IF(G148="","",SUMIFS($U$10:U148,$AG$10:AG148,AG148,$G$10:G148,G148))</x:f>
      </x:c>
      <x:c r="W148" s="62" t="str">
        <x:f>IF(C148="","",IF(AN148&lt;&gt;1,"",IF(G148="Single",AA148,IF(G148="Double",AC148,AE148))))</x:f>
      </x:c>
      <x:c r="X148" s="62" t="str">
        <x:f>IF(C148="","",IF(AN148&lt;&gt;1,"",ROUND(((AA148*AB148+AC148*AD148+AE148*AF148)/(AB148+AD148+AF148))+IF((MAX(AA148,AC148,AE148)-(AA148+AC148+AE148-MAX(AA148,AC148,AE148)-MIN(AA148,AC148,AE148)))&lt;'Model &amp; indstillinger'!$E$16,'Model &amp; indstillinger'!$E$18,'Model &amp; indstillinger'!$E$20)*(MAX(AA148,AC148,AE148)-((AA148*AB148+AC148*AD148+AE148*AF148)/(AB148+AD148+AF148))),0)))</x:f>
      </x:c>
      <x:c r="Y148" s="62" t="str">
        <x:f>IF(X148="","",'Model &amp; indstillinger'!$B$4-X148)</x:f>
      </x:c>
      <x:c r="Z148" s="62" t="str">
        <x:f>IF(C148="","",IF(H148="Planlagt","Planlagt – ingen point endnu",IF(H148="Ikke spillet","Ikke spillet – tæller ikke som kamp og giver ingen point",IF(AN148=1,"STÆVNE SLUT – samlet point tilskrives","Frosset pointgrundlag – ingen tilskrivning endnu"))))</x:f>
      </x:c>
      <x:c r="AA148" s="60" t="str">
        <x:f>IF(C148="","",'Model &amp; indstillinger'!$B$6+SUMIFS($U$10:U148,$G$10:G148,"Single"))</x:f>
      </x:c>
      <x:c r="AB148" s="60" t="str">
        <x:f>IF(C148="","",'Model &amp; indstillinger'!$B$7+COUNTIFS($G$10:G148,"Single",$AK$10:AK148,1))</x:f>
      </x:c>
      <x:c r="AC148" s="60" t="str">
        <x:f>IF(C148="","",'Model &amp; indstillinger'!$B$8+SUMIFS($U$10:U148,$G$10:G148,"Double"))</x:f>
      </x:c>
      <x:c r="AD148" s="60" t="str">
        <x:f>IF(C148="","",'Model &amp; indstillinger'!$B$9+COUNTIFS($G$10:G148,"Double",$AK$10:AK148,1))</x:f>
      </x:c>
      <x:c r="AE148" s="60" t="str">
        <x:f>IF(C148="","",'Model &amp; indstillinger'!$B$10+SUMIFS($U$10:U148,$G$10:G148,"Mix"))</x:f>
      </x:c>
      <x:c r="AF148" s="60" t="str">
        <x:f>IF(C148="","",'Model &amp; indstillinger'!$B$11+COUNTIFS($G$10:G148,"Mix",$AK$10:AK148,1))</x:f>
      </x:c>
      <x:c r="AG148" s="60" t="str">
        <x:f>IF(C148="","",IF(C148=C147,AG147,AG147+1))</x:f>
      </x:c>
      <x:c r="AH148" s="60" t="str">
        <x:f>IF(C148="","",IF(AG148=AG147,AH147,AA147))</x:f>
      </x:c>
      <x:c r="AI148" s="60" t="str">
        <x:f>IF(C148="","",IF(AG148=AG147,AI147,AC147))</x:f>
      </x:c>
      <x:c r="AJ148" s="60" t="str">
        <x:f>IF(C148="","",IF(AG148=AG147,AJ147,AE147))</x:f>
      </x:c>
      <x:c r="AK148" s="60" t="n">
        <x:f>IF(OR(H148="Vundet",H148="Tabt"),1,0)</x:f>
        <x:v>0</x:v>
      </x:c>
      <x:c r="AL148" s="60" t="n"/>
      <x:c r="AM148" s="60" t="n">
        <x:f>MAX($AG$10:$AG$209)</x:f>
        <x:v>4</x:v>
      </x:c>
      <x:c r="AN148" s="60" t="str">
        <x:f>IF(C148="","",IF(AND(C149&lt;&gt;"",C149&lt;&gt;C148),1,0))</x:f>
      </x:c>
      <x:c r="AO148" s="60" t="n"/>
      <x:c r="AP148" s="60" t="n">
        <x:f>MAX($AG$10:$AG$209)</x:f>
        <x:v>4</x:v>
      </x:c>
      <x:c r="AQ148" t="str">
        <x:f>AG148</x:f>
      </x:c>
      <x:c r="AR148" t="n">
        <x:f>C148</x:f>
        <x:v>0</x:v>
      </x:c>
      <x:c r="AS148" t="n">
        <x:f>E148</x:f>
        <x:v>0</x:v>
      </x:c>
    </x:row>
    <x:row r="149">
      <x:c r="A149" s="60" t="str">
        <x:f>IF(C149="","",COUNTIF($C$10:C149,"&lt;&gt;"))</x:f>
      </x:c>
      <x:c r="B149" s="122" t="n"/>
      <x:c r="C149" s="87" t="n"/>
      <x:c r="D149" s="87" t="n"/>
      <x:c r="E149" s="87" t="n"/>
      <x:c r="F149" s="87" t="n"/>
      <x:c r="G149" s="87" t="n"/>
      <x:c r="H149" s="87" t="n"/>
      <x:c r="I149" s="87" t="n"/>
      <x:c r="J149" s="87" t="n"/>
      <x:c r="K149" s="87" t="n"/>
      <x:c r="L149" s="87" t="n"/>
      <x:c r="M149" s="87" t="n"/>
      <x:c r="N149" s="87" t="n"/>
      <x:c r="O149" s="62" t="str">
        <x:f>IF(G149="","",IF(G149="Single",AH149,IF(G149="Double",AI149,AJ149)))</x:f>
      </x:c>
      <x:c r="P149" s="62" t="str">
        <x:f>IF(OR(G149="",H149="Ikke spillet"),"",IF(G149="Single",O149,IF(J149="","",(O149+J149)/2)))</x:f>
      </x:c>
      <x:c r="Q149" s="62" t="str">
        <x:f>IF(OR(G149="",H149="Ikke spillet"),"",IF(G149="Single",L149,IF(OR(L149="",N149=""),"",(L149+N149)/2)))</x:f>
      </x:c>
      <x:c r="R149" s="62" t="str">
        <x:f>IF(OR(P149="",Q149=""),"",Q149-P149)</x:f>
      </x:c>
      <x:c r="S149" s="62" t="str">
        <x:f>IF(H149="Ikke spillet","",IF(R149="","",IF(ABS(R149)&lt;0.000001,"Lige (0)",VLOOKUP(ABS(R149),'BD Pointtabel'!$A$4:$G$15,2,TRUE))))</x:f>
      </x:c>
      <x:c r="T149" s="62" t="str">
        <x:f>IF(H149="Ikke spillet","Ikke spillet",IF(H149="Planlagt","Planlagt",IF(OR(H149="",P149="",Q149=""),"",IF(H149="Vundet",IF(R149&gt;0,"Uventet sejr","Ventet sejr"),IF(R149&gt;=0,"Ventet nederlag","Uventet nederlag")))))</x:f>
      </x:c>
      <x:c r="U149" s="62" t="str">
        <x:f>IF(OR(H149="Ikke spillet",H149="Planlagt"),"",IF(OR(G149="",H149="",P149="",Q149=""),"",IF(AND(F149="Ungdomsholdturnering",OR(G149="Double",G149="Mix"),H149="Tabt"),0,IF(H149="Vundet",IF(R149&gt;0,VLOOKUP(ABS(R149),'BD Pointtabel'!$A$4:$G$15,4,TRUE),VLOOKUP(ABS(R149),'BD Pointtabel'!$A$4:$G$15,7,TRUE)),IF(R149&gt;=0,VLOOKUP(ABS(R149),'BD Pointtabel'!$A$4:$G$15,6,TRUE),VLOOKUP(ABS(R149),'BD Pointtabel'!$A$4:$G$15,3,TRUE))))))</x:f>
      </x:c>
      <x:c r="V149" s="62" t="str">
        <x:f>IF(G149="","",SUMIFS($U$10:U149,$AG$10:AG149,AG149,$G$10:G149,G149))</x:f>
      </x:c>
      <x:c r="W149" s="62" t="str">
        <x:f>IF(C149="","",IF(AN149&lt;&gt;1,"",IF(G149="Single",AA149,IF(G149="Double",AC149,AE149))))</x:f>
      </x:c>
      <x:c r="X149" s="62" t="str">
        <x:f>IF(C149="","",IF(AN149&lt;&gt;1,"",ROUND(((AA149*AB149+AC149*AD149+AE149*AF149)/(AB149+AD149+AF149))+IF((MAX(AA149,AC149,AE149)-(AA149+AC149+AE149-MAX(AA149,AC149,AE149)-MIN(AA149,AC149,AE149)))&lt;'Model &amp; indstillinger'!$E$16,'Model &amp; indstillinger'!$E$18,'Model &amp; indstillinger'!$E$20)*(MAX(AA149,AC149,AE149)-((AA149*AB149+AC149*AD149+AE149*AF149)/(AB149+AD149+AF149))),0)))</x:f>
      </x:c>
      <x:c r="Y149" s="62" t="str">
        <x:f>IF(X149="","",'Model &amp; indstillinger'!$B$4-X149)</x:f>
      </x:c>
      <x:c r="Z149" s="62" t="str">
        <x:f>IF(C149="","",IF(H149="Planlagt","Planlagt – ingen point endnu",IF(H149="Ikke spillet","Ikke spillet – tæller ikke som kamp og giver ingen point",IF(AN149=1,"STÆVNE SLUT – samlet point tilskrives","Frosset pointgrundlag – ingen tilskrivning endnu"))))</x:f>
      </x:c>
      <x:c r="AA149" s="60" t="str">
        <x:f>IF(C149="","",'Model &amp; indstillinger'!$B$6+SUMIFS($U$10:U149,$G$10:G149,"Single"))</x:f>
      </x:c>
      <x:c r="AB149" s="60" t="str">
        <x:f>IF(C149="","",'Model &amp; indstillinger'!$B$7+COUNTIFS($G$10:G149,"Single",$AK$10:AK149,1))</x:f>
      </x:c>
      <x:c r="AC149" s="60" t="str">
        <x:f>IF(C149="","",'Model &amp; indstillinger'!$B$8+SUMIFS($U$10:U149,$G$10:G149,"Double"))</x:f>
      </x:c>
      <x:c r="AD149" s="60" t="str">
        <x:f>IF(C149="","",'Model &amp; indstillinger'!$B$9+COUNTIFS($G$10:G149,"Double",$AK$10:AK149,1))</x:f>
      </x:c>
      <x:c r="AE149" s="60" t="str">
        <x:f>IF(C149="","",'Model &amp; indstillinger'!$B$10+SUMIFS($U$10:U149,$G$10:G149,"Mix"))</x:f>
      </x:c>
      <x:c r="AF149" s="60" t="str">
        <x:f>IF(C149="","",'Model &amp; indstillinger'!$B$11+COUNTIFS($G$10:G149,"Mix",$AK$10:AK149,1))</x:f>
      </x:c>
      <x:c r="AG149" s="60" t="str">
        <x:f>IF(C149="","",IF(C149=C148,AG148,AG148+1))</x:f>
      </x:c>
      <x:c r="AH149" s="60" t="str">
        <x:f>IF(C149="","",IF(AG149=AG148,AH148,AA148))</x:f>
      </x:c>
      <x:c r="AI149" s="60" t="str">
        <x:f>IF(C149="","",IF(AG149=AG148,AI148,AC148))</x:f>
      </x:c>
      <x:c r="AJ149" s="60" t="str">
        <x:f>IF(C149="","",IF(AG149=AG148,AJ148,AE148))</x:f>
      </x:c>
      <x:c r="AK149" s="60" t="n">
        <x:f>IF(OR(H149="Vundet",H149="Tabt"),1,0)</x:f>
        <x:v>0</x:v>
      </x:c>
      <x:c r="AL149" s="60" t="n"/>
      <x:c r="AM149" s="60" t="n">
        <x:f>MAX($AG$10:$AG$209)</x:f>
        <x:v>4</x:v>
      </x:c>
      <x:c r="AN149" s="60" t="str">
        <x:f>IF(C149="","",IF(AND(C150&lt;&gt;"",C150&lt;&gt;C149),1,0))</x:f>
      </x:c>
      <x:c r="AO149" s="60" t="n"/>
      <x:c r="AP149" s="60" t="n">
        <x:f>MAX($AG$10:$AG$209)</x:f>
        <x:v>4</x:v>
      </x:c>
      <x:c r="AQ149" t="str">
        <x:f>AG149</x:f>
      </x:c>
      <x:c r="AR149" t="n">
        <x:f>C149</x:f>
        <x:v>0</x:v>
      </x:c>
      <x:c r="AS149" t="n">
        <x:f>E149</x:f>
        <x:v>0</x:v>
      </x:c>
    </x:row>
    <x:row r="150">
      <x:c r="A150" s="60" t="str">
        <x:f>IF(C150="","",COUNTIF($C$10:C150,"&lt;&gt;"))</x:f>
      </x:c>
      <x:c r="B150" s="122" t="n"/>
      <x:c r="C150" s="87" t="n"/>
      <x:c r="D150" s="87" t="n"/>
      <x:c r="E150" s="87" t="n"/>
      <x:c r="F150" s="87" t="n"/>
      <x:c r="G150" s="87" t="n"/>
      <x:c r="H150" s="87" t="n"/>
      <x:c r="I150" s="87" t="n"/>
      <x:c r="J150" s="87" t="n"/>
      <x:c r="K150" s="87" t="n"/>
      <x:c r="L150" s="87" t="n"/>
      <x:c r="M150" s="87" t="n"/>
      <x:c r="N150" s="87" t="n"/>
      <x:c r="O150" s="62" t="str">
        <x:f>IF(G150="","",IF(G150="Single",AH150,IF(G150="Double",AI150,AJ150)))</x:f>
      </x:c>
      <x:c r="P150" s="62" t="str">
        <x:f>IF(OR(G150="",H150="Ikke spillet"),"",IF(G150="Single",O150,IF(J150="","",(O150+J150)/2)))</x:f>
      </x:c>
      <x:c r="Q150" s="62" t="str">
        <x:f>IF(OR(G150="",H150="Ikke spillet"),"",IF(G150="Single",L150,IF(OR(L150="",N150=""),"",(L150+N150)/2)))</x:f>
      </x:c>
      <x:c r="R150" s="62" t="str">
        <x:f>IF(OR(P150="",Q150=""),"",Q150-P150)</x:f>
      </x:c>
      <x:c r="S150" s="62" t="str">
        <x:f>IF(H150="Ikke spillet","",IF(R150="","",IF(ABS(R150)&lt;0.000001,"Lige (0)",VLOOKUP(ABS(R150),'BD Pointtabel'!$A$4:$G$15,2,TRUE))))</x:f>
      </x:c>
      <x:c r="T150" s="62" t="str">
        <x:f>IF(H150="Ikke spillet","Ikke spillet",IF(H150="Planlagt","Planlagt",IF(OR(H150="",P150="",Q150=""),"",IF(H150="Vundet",IF(R150&gt;0,"Uventet sejr","Ventet sejr"),IF(R150&gt;=0,"Ventet nederlag","Uventet nederlag")))))</x:f>
      </x:c>
      <x:c r="U150" s="62" t="str">
        <x:f>IF(OR(H150="Ikke spillet",H150="Planlagt"),"",IF(OR(G150="",H150="",P150="",Q150=""),"",IF(AND(F150="Ungdomsholdturnering",OR(G150="Double",G150="Mix"),H150="Tabt"),0,IF(H150="Vundet",IF(R150&gt;0,VLOOKUP(ABS(R150),'BD Pointtabel'!$A$4:$G$15,4,TRUE),VLOOKUP(ABS(R150),'BD Pointtabel'!$A$4:$G$15,7,TRUE)),IF(R150&gt;=0,VLOOKUP(ABS(R150),'BD Pointtabel'!$A$4:$G$15,6,TRUE),VLOOKUP(ABS(R150),'BD Pointtabel'!$A$4:$G$15,3,TRUE))))))</x:f>
      </x:c>
      <x:c r="V150" s="62" t="str">
        <x:f>IF(G150="","",SUMIFS($U$10:U150,$AG$10:AG150,AG150,$G$10:G150,G150))</x:f>
      </x:c>
      <x:c r="W150" s="62" t="str">
        <x:f>IF(C150="","",IF(AN150&lt;&gt;1,"",IF(G150="Single",AA150,IF(G150="Double",AC150,AE150))))</x:f>
      </x:c>
      <x:c r="X150" s="62" t="str">
        <x:f>IF(C150="","",IF(AN150&lt;&gt;1,"",ROUND(((AA150*AB150+AC150*AD150+AE150*AF150)/(AB150+AD150+AF150))+IF((MAX(AA150,AC150,AE150)-(AA150+AC150+AE150-MAX(AA150,AC150,AE150)-MIN(AA150,AC150,AE150)))&lt;'Model &amp; indstillinger'!$E$16,'Model &amp; indstillinger'!$E$18,'Model &amp; indstillinger'!$E$20)*(MAX(AA150,AC150,AE150)-((AA150*AB150+AC150*AD150+AE150*AF150)/(AB150+AD150+AF150))),0)))</x:f>
      </x:c>
      <x:c r="Y150" s="62" t="str">
        <x:f>IF(X150="","",'Model &amp; indstillinger'!$B$4-X150)</x:f>
      </x:c>
      <x:c r="Z150" s="62" t="str">
        <x:f>IF(C150="","",IF(H150="Planlagt","Planlagt – ingen point endnu",IF(H150="Ikke spillet","Ikke spillet – tæller ikke som kamp og giver ingen point",IF(AN150=1,"STÆVNE SLUT – samlet point tilskrives","Frosset pointgrundlag – ingen tilskrivning endnu"))))</x:f>
      </x:c>
      <x:c r="AA150" s="60" t="str">
        <x:f>IF(C150="","",'Model &amp; indstillinger'!$B$6+SUMIFS($U$10:U150,$G$10:G150,"Single"))</x:f>
      </x:c>
      <x:c r="AB150" s="60" t="str">
        <x:f>IF(C150="","",'Model &amp; indstillinger'!$B$7+COUNTIFS($G$10:G150,"Single",$AK$10:AK150,1))</x:f>
      </x:c>
      <x:c r="AC150" s="60" t="str">
        <x:f>IF(C150="","",'Model &amp; indstillinger'!$B$8+SUMIFS($U$10:U150,$G$10:G150,"Double"))</x:f>
      </x:c>
      <x:c r="AD150" s="60" t="str">
        <x:f>IF(C150="","",'Model &amp; indstillinger'!$B$9+COUNTIFS($G$10:G150,"Double",$AK$10:AK150,1))</x:f>
      </x:c>
      <x:c r="AE150" s="60" t="str">
        <x:f>IF(C150="","",'Model &amp; indstillinger'!$B$10+SUMIFS($U$10:U150,$G$10:G150,"Mix"))</x:f>
      </x:c>
      <x:c r="AF150" s="60" t="str">
        <x:f>IF(C150="","",'Model &amp; indstillinger'!$B$11+COUNTIFS($G$10:G150,"Mix",$AK$10:AK150,1))</x:f>
      </x:c>
      <x:c r="AG150" s="60" t="str">
        <x:f>IF(C150="","",IF(C150=C149,AG149,AG149+1))</x:f>
      </x:c>
      <x:c r="AH150" s="60" t="str">
        <x:f>IF(C150="","",IF(AG150=AG149,AH149,AA149))</x:f>
      </x:c>
      <x:c r="AI150" s="60" t="str">
        <x:f>IF(C150="","",IF(AG150=AG149,AI149,AC149))</x:f>
      </x:c>
      <x:c r="AJ150" s="60" t="str">
        <x:f>IF(C150="","",IF(AG150=AG149,AJ149,AE149))</x:f>
      </x:c>
      <x:c r="AK150" s="60" t="n">
        <x:f>IF(OR(H150="Vundet",H150="Tabt"),1,0)</x:f>
        <x:v>0</x:v>
      </x:c>
      <x:c r="AL150" s="60" t="n"/>
      <x:c r="AM150" s="60" t="n">
        <x:f>MAX($AG$10:$AG$209)</x:f>
        <x:v>4</x:v>
      </x:c>
      <x:c r="AN150" s="60" t="str">
        <x:f>IF(C150="","",IF(AND(C151&lt;&gt;"",C151&lt;&gt;C150),1,0))</x:f>
      </x:c>
      <x:c r="AO150" s="60" t="n"/>
      <x:c r="AP150" s="60" t="n">
        <x:f>MAX($AG$10:$AG$209)</x:f>
        <x:v>4</x:v>
      </x:c>
      <x:c r="AQ150" t="str">
        <x:f>AG150</x:f>
      </x:c>
      <x:c r="AR150" t="n">
        <x:f>C150</x:f>
        <x:v>0</x:v>
      </x:c>
      <x:c r="AS150" t="n">
        <x:f>E150</x:f>
        <x:v>0</x:v>
      </x:c>
    </x:row>
    <x:row r="151">
      <x:c r="A151" s="60" t="str">
        <x:f>IF(C151="","",COUNTIF($C$10:C151,"&lt;&gt;"))</x:f>
      </x:c>
      <x:c r="B151" s="122" t="n"/>
      <x:c r="C151" s="87" t="n"/>
      <x:c r="D151" s="87" t="n"/>
      <x:c r="E151" s="87" t="n"/>
      <x:c r="F151" s="87" t="n"/>
      <x:c r="G151" s="87" t="n"/>
      <x:c r="H151" s="87" t="n"/>
      <x:c r="I151" s="87" t="n"/>
      <x:c r="J151" s="87" t="n"/>
      <x:c r="K151" s="87" t="n"/>
      <x:c r="L151" s="87" t="n"/>
      <x:c r="M151" s="87" t="n"/>
      <x:c r="N151" s="87" t="n"/>
      <x:c r="O151" s="62" t="str">
        <x:f>IF(G151="","",IF(G151="Single",AH151,IF(G151="Double",AI151,AJ151)))</x:f>
      </x:c>
      <x:c r="P151" s="62" t="str">
        <x:f>IF(OR(G151="",H151="Ikke spillet"),"",IF(G151="Single",O151,IF(J151="","",(O151+J151)/2)))</x:f>
      </x:c>
      <x:c r="Q151" s="62" t="str">
        <x:f>IF(OR(G151="",H151="Ikke spillet"),"",IF(G151="Single",L151,IF(OR(L151="",N151=""),"",(L151+N151)/2)))</x:f>
      </x:c>
      <x:c r="R151" s="62" t="str">
        <x:f>IF(OR(P151="",Q151=""),"",Q151-P151)</x:f>
      </x:c>
      <x:c r="S151" s="62" t="str">
        <x:f>IF(H151="Ikke spillet","",IF(R151="","",IF(ABS(R151)&lt;0.000001,"Lige (0)",VLOOKUP(ABS(R151),'BD Pointtabel'!$A$4:$G$15,2,TRUE))))</x:f>
      </x:c>
      <x:c r="T151" s="62" t="str">
        <x:f>IF(H151="Ikke spillet","Ikke spillet",IF(H151="Planlagt","Planlagt",IF(OR(H151="",P151="",Q151=""),"",IF(H151="Vundet",IF(R151&gt;0,"Uventet sejr","Ventet sejr"),IF(R151&gt;=0,"Ventet nederlag","Uventet nederlag")))))</x:f>
      </x:c>
      <x:c r="U151" s="62" t="str">
        <x:f>IF(OR(H151="Ikke spillet",H151="Planlagt"),"",IF(OR(G151="",H151="",P151="",Q151=""),"",IF(AND(F151="Ungdomsholdturnering",OR(G151="Double",G151="Mix"),H151="Tabt"),0,IF(H151="Vundet",IF(R151&gt;0,VLOOKUP(ABS(R151),'BD Pointtabel'!$A$4:$G$15,4,TRUE),VLOOKUP(ABS(R151),'BD Pointtabel'!$A$4:$G$15,7,TRUE)),IF(R151&gt;=0,VLOOKUP(ABS(R151),'BD Pointtabel'!$A$4:$G$15,6,TRUE),VLOOKUP(ABS(R151),'BD Pointtabel'!$A$4:$G$15,3,TRUE))))))</x:f>
      </x:c>
      <x:c r="V151" s="62" t="str">
        <x:f>IF(G151="","",SUMIFS($U$10:U151,$AG$10:AG151,AG151,$G$10:G151,G151))</x:f>
      </x:c>
      <x:c r="W151" s="62" t="str">
        <x:f>IF(C151="","",IF(AN151&lt;&gt;1,"",IF(G151="Single",AA151,IF(G151="Double",AC151,AE151))))</x:f>
      </x:c>
      <x:c r="X151" s="62" t="str">
        <x:f>IF(C151="","",IF(AN151&lt;&gt;1,"",ROUND(((AA151*AB151+AC151*AD151+AE151*AF151)/(AB151+AD151+AF151))+IF((MAX(AA151,AC151,AE151)-(AA151+AC151+AE151-MAX(AA151,AC151,AE151)-MIN(AA151,AC151,AE151)))&lt;'Model &amp; indstillinger'!$E$16,'Model &amp; indstillinger'!$E$18,'Model &amp; indstillinger'!$E$20)*(MAX(AA151,AC151,AE151)-((AA151*AB151+AC151*AD151+AE151*AF151)/(AB151+AD151+AF151))),0)))</x:f>
      </x:c>
      <x:c r="Y151" s="62" t="str">
        <x:f>IF(X151="","",'Model &amp; indstillinger'!$B$4-X151)</x:f>
      </x:c>
      <x:c r="Z151" s="62" t="str">
        <x:f>IF(C151="","",IF(H151="Planlagt","Planlagt – ingen point endnu",IF(H151="Ikke spillet","Ikke spillet – tæller ikke som kamp og giver ingen point",IF(AN151=1,"STÆVNE SLUT – samlet point tilskrives","Frosset pointgrundlag – ingen tilskrivning endnu"))))</x:f>
      </x:c>
      <x:c r="AA151" s="60" t="str">
        <x:f>IF(C151="","",'Model &amp; indstillinger'!$B$6+SUMIFS($U$10:U151,$G$10:G151,"Single"))</x:f>
      </x:c>
      <x:c r="AB151" s="60" t="str">
        <x:f>IF(C151="","",'Model &amp; indstillinger'!$B$7+COUNTIFS($G$10:G151,"Single",$AK$10:AK151,1))</x:f>
      </x:c>
      <x:c r="AC151" s="60" t="str">
        <x:f>IF(C151="","",'Model &amp; indstillinger'!$B$8+SUMIFS($U$10:U151,$G$10:G151,"Double"))</x:f>
      </x:c>
      <x:c r="AD151" s="60" t="str">
        <x:f>IF(C151="","",'Model &amp; indstillinger'!$B$9+COUNTIFS($G$10:G151,"Double",$AK$10:AK151,1))</x:f>
      </x:c>
      <x:c r="AE151" s="60" t="str">
        <x:f>IF(C151="","",'Model &amp; indstillinger'!$B$10+SUMIFS($U$10:U151,$G$10:G151,"Mix"))</x:f>
      </x:c>
      <x:c r="AF151" s="60" t="str">
        <x:f>IF(C151="","",'Model &amp; indstillinger'!$B$11+COUNTIFS($G$10:G151,"Mix",$AK$10:AK151,1))</x:f>
      </x:c>
      <x:c r="AG151" s="60" t="str">
        <x:f>IF(C151="","",IF(C151=C150,AG150,AG150+1))</x:f>
      </x:c>
      <x:c r="AH151" s="60" t="str">
        <x:f>IF(C151="","",IF(AG151=AG150,AH150,AA150))</x:f>
      </x:c>
      <x:c r="AI151" s="60" t="str">
        <x:f>IF(C151="","",IF(AG151=AG150,AI150,AC150))</x:f>
      </x:c>
      <x:c r="AJ151" s="60" t="str">
        <x:f>IF(C151="","",IF(AG151=AG150,AJ150,AE150))</x:f>
      </x:c>
      <x:c r="AK151" s="60" t="n">
        <x:f>IF(OR(H151="Vundet",H151="Tabt"),1,0)</x:f>
        <x:v>0</x:v>
      </x:c>
      <x:c r="AL151" s="60" t="n"/>
      <x:c r="AM151" s="60" t="n">
        <x:f>MAX($AG$10:$AG$209)</x:f>
        <x:v>4</x:v>
      </x:c>
      <x:c r="AN151" s="60" t="str">
        <x:f>IF(C151="","",IF(AND(C152&lt;&gt;"",C152&lt;&gt;C151),1,0))</x:f>
      </x:c>
      <x:c r="AO151" s="60" t="n"/>
      <x:c r="AP151" s="60" t="n">
        <x:f>MAX($AG$10:$AG$209)</x:f>
        <x:v>4</x:v>
      </x:c>
      <x:c r="AQ151" t="str">
        <x:f>AG151</x:f>
      </x:c>
      <x:c r="AR151" t="n">
        <x:f>C151</x:f>
        <x:v>0</x:v>
      </x:c>
      <x:c r="AS151" t="n">
        <x:f>E151</x:f>
        <x:v>0</x:v>
      </x:c>
    </x:row>
    <x:row r="152">
      <x:c r="A152" s="60" t="str">
        <x:f>IF(C152="","",COUNTIF($C$10:C152,"&lt;&gt;"))</x:f>
      </x:c>
      <x:c r="B152" s="122" t="n"/>
      <x:c r="C152" s="87" t="n"/>
      <x:c r="D152" s="87" t="n"/>
      <x:c r="E152" s="87" t="n"/>
      <x:c r="F152" s="87" t="n"/>
      <x:c r="G152" s="87" t="n"/>
      <x:c r="H152" s="87" t="n"/>
      <x:c r="I152" s="87" t="n"/>
      <x:c r="J152" s="87" t="n"/>
      <x:c r="K152" s="87" t="n"/>
      <x:c r="L152" s="87" t="n"/>
      <x:c r="M152" s="87" t="n"/>
      <x:c r="N152" s="87" t="n"/>
      <x:c r="O152" s="62" t="str">
        <x:f>IF(G152="","",IF(G152="Single",AH152,IF(G152="Double",AI152,AJ152)))</x:f>
      </x:c>
      <x:c r="P152" s="62" t="str">
        <x:f>IF(OR(G152="",H152="Ikke spillet"),"",IF(G152="Single",O152,IF(J152="","",(O152+J152)/2)))</x:f>
      </x:c>
      <x:c r="Q152" s="62" t="str">
        <x:f>IF(OR(G152="",H152="Ikke spillet"),"",IF(G152="Single",L152,IF(OR(L152="",N152=""),"",(L152+N152)/2)))</x:f>
      </x:c>
      <x:c r="R152" s="62" t="str">
        <x:f>IF(OR(P152="",Q152=""),"",Q152-P152)</x:f>
      </x:c>
      <x:c r="S152" s="62" t="str">
        <x:f>IF(H152="Ikke spillet","",IF(R152="","",IF(ABS(R152)&lt;0.000001,"Lige (0)",VLOOKUP(ABS(R152),'BD Pointtabel'!$A$4:$G$15,2,TRUE))))</x:f>
      </x:c>
      <x:c r="T152" s="62" t="str">
        <x:f>IF(H152="Ikke spillet","Ikke spillet",IF(H152="Planlagt","Planlagt",IF(OR(H152="",P152="",Q152=""),"",IF(H152="Vundet",IF(R152&gt;0,"Uventet sejr","Ventet sejr"),IF(R152&gt;=0,"Ventet nederlag","Uventet nederlag")))))</x:f>
      </x:c>
      <x:c r="U152" s="62" t="str">
        <x:f>IF(OR(H152="Ikke spillet",H152="Planlagt"),"",IF(OR(G152="",H152="",P152="",Q152=""),"",IF(AND(F152="Ungdomsholdturnering",OR(G152="Double",G152="Mix"),H152="Tabt"),0,IF(H152="Vundet",IF(R152&gt;0,VLOOKUP(ABS(R152),'BD Pointtabel'!$A$4:$G$15,4,TRUE),VLOOKUP(ABS(R152),'BD Pointtabel'!$A$4:$G$15,7,TRUE)),IF(R152&gt;=0,VLOOKUP(ABS(R152),'BD Pointtabel'!$A$4:$G$15,6,TRUE),VLOOKUP(ABS(R152),'BD Pointtabel'!$A$4:$G$15,3,TRUE))))))</x:f>
      </x:c>
      <x:c r="V152" s="62" t="str">
        <x:f>IF(G152="","",SUMIFS($U$10:U152,$AG$10:AG152,AG152,$G$10:G152,G152))</x:f>
      </x:c>
      <x:c r="W152" s="62" t="str">
        <x:f>IF(C152="","",IF(AN152&lt;&gt;1,"",IF(G152="Single",AA152,IF(G152="Double",AC152,AE152))))</x:f>
      </x:c>
      <x:c r="X152" s="62" t="str">
        <x:f>IF(C152="","",IF(AN152&lt;&gt;1,"",ROUND(((AA152*AB152+AC152*AD152+AE152*AF152)/(AB152+AD152+AF152))+IF((MAX(AA152,AC152,AE152)-(AA152+AC152+AE152-MAX(AA152,AC152,AE152)-MIN(AA152,AC152,AE152)))&lt;'Model &amp; indstillinger'!$E$16,'Model &amp; indstillinger'!$E$18,'Model &amp; indstillinger'!$E$20)*(MAX(AA152,AC152,AE152)-((AA152*AB152+AC152*AD152+AE152*AF152)/(AB152+AD152+AF152))),0)))</x:f>
      </x:c>
      <x:c r="Y152" s="62" t="str">
        <x:f>IF(X152="","",'Model &amp; indstillinger'!$B$4-X152)</x:f>
      </x:c>
      <x:c r="Z152" s="62" t="str">
        <x:f>IF(C152="","",IF(H152="Planlagt","Planlagt – ingen point endnu",IF(H152="Ikke spillet","Ikke spillet – tæller ikke som kamp og giver ingen point",IF(AN152=1,"STÆVNE SLUT – samlet point tilskrives","Frosset pointgrundlag – ingen tilskrivning endnu"))))</x:f>
      </x:c>
      <x:c r="AA152" s="60" t="str">
        <x:f>IF(C152="","",'Model &amp; indstillinger'!$B$6+SUMIFS($U$10:U152,$G$10:G152,"Single"))</x:f>
      </x:c>
      <x:c r="AB152" s="60" t="str">
        <x:f>IF(C152="","",'Model &amp; indstillinger'!$B$7+COUNTIFS($G$10:G152,"Single",$AK$10:AK152,1))</x:f>
      </x:c>
      <x:c r="AC152" s="60" t="str">
        <x:f>IF(C152="","",'Model &amp; indstillinger'!$B$8+SUMIFS($U$10:U152,$G$10:G152,"Double"))</x:f>
      </x:c>
      <x:c r="AD152" s="60" t="str">
        <x:f>IF(C152="","",'Model &amp; indstillinger'!$B$9+COUNTIFS($G$10:G152,"Double",$AK$10:AK152,1))</x:f>
      </x:c>
      <x:c r="AE152" s="60" t="str">
        <x:f>IF(C152="","",'Model &amp; indstillinger'!$B$10+SUMIFS($U$10:U152,$G$10:G152,"Mix"))</x:f>
      </x:c>
      <x:c r="AF152" s="60" t="str">
        <x:f>IF(C152="","",'Model &amp; indstillinger'!$B$11+COUNTIFS($G$10:G152,"Mix",$AK$10:AK152,1))</x:f>
      </x:c>
      <x:c r="AG152" s="60" t="str">
        <x:f>IF(C152="","",IF(C152=C151,AG151,AG151+1))</x:f>
      </x:c>
      <x:c r="AH152" s="60" t="str">
        <x:f>IF(C152="","",IF(AG152=AG151,AH151,AA151))</x:f>
      </x:c>
      <x:c r="AI152" s="60" t="str">
        <x:f>IF(C152="","",IF(AG152=AG151,AI151,AC151))</x:f>
      </x:c>
      <x:c r="AJ152" s="60" t="str">
        <x:f>IF(C152="","",IF(AG152=AG151,AJ151,AE151))</x:f>
      </x:c>
      <x:c r="AK152" s="60" t="n">
        <x:f>IF(OR(H152="Vundet",H152="Tabt"),1,0)</x:f>
        <x:v>0</x:v>
      </x:c>
      <x:c r="AL152" s="60" t="n"/>
      <x:c r="AM152" s="60" t="n">
        <x:f>MAX($AG$10:$AG$209)</x:f>
        <x:v>4</x:v>
      </x:c>
      <x:c r="AN152" s="60" t="str">
        <x:f>IF(C152="","",IF(AND(C153&lt;&gt;"",C153&lt;&gt;C152),1,0))</x:f>
      </x:c>
      <x:c r="AO152" s="60" t="n"/>
      <x:c r="AP152" s="60" t="n">
        <x:f>MAX($AG$10:$AG$209)</x:f>
        <x:v>4</x:v>
      </x:c>
      <x:c r="AQ152" t="str">
        <x:f>AG152</x:f>
      </x:c>
      <x:c r="AR152" t="n">
        <x:f>C152</x:f>
        <x:v>0</x:v>
      </x:c>
      <x:c r="AS152" t="n">
        <x:f>E152</x:f>
        <x:v>0</x:v>
      </x:c>
    </x:row>
    <x:row r="153">
      <x:c r="A153" s="60" t="str">
        <x:f>IF(C153="","",COUNTIF($C$10:C153,"&lt;&gt;"))</x:f>
      </x:c>
      <x:c r="B153" s="122" t="n"/>
      <x:c r="C153" s="87" t="n"/>
      <x:c r="D153" s="87" t="n"/>
      <x:c r="E153" s="87" t="n"/>
      <x:c r="F153" s="87" t="n"/>
      <x:c r="G153" s="87" t="n"/>
      <x:c r="H153" s="87" t="n"/>
      <x:c r="I153" s="87" t="n"/>
      <x:c r="J153" s="87" t="n"/>
      <x:c r="K153" s="87" t="n"/>
      <x:c r="L153" s="87" t="n"/>
      <x:c r="M153" s="87" t="n"/>
      <x:c r="N153" s="87" t="n"/>
      <x:c r="O153" s="62" t="str">
        <x:f>IF(G153="","",IF(G153="Single",AH153,IF(G153="Double",AI153,AJ153)))</x:f>
      </x:c>
      <x:c r="P153" s="62" t="str">
        <x:f>IF(OR(G153="",H153="Ikke spillet"),"",IF(G153="Single",O153,IF(J153="","",(O153+J153)/2)))</x:f>
      </x:c>
      <x:c r="Q153" s="62" t="str">
        <x:f>IF(OR(G153="",H153="Ikke spillet"),"",IF(G153="Single",L153,IF(OR(L153="",N153=""),"",(L153+N153)/2)))</x:f>
      </x:c>
      <x:c r="R153" s="62" t="str">
        <x:f>IF(OR(P153="",Q153=""),"",Q153-P153)</x:f>
      </x:c>
      <x:c r="S153" s="62" t="str">
        <x:f>IF(H153="Ikke spillet","",IF(R153="","",IF(ABS(R153)&lt;0.000001,"Lige (0)",VLOOKUP(ABS(R153),'BD Pointtabel'!$A$4:$G$15,2,TRUE))))</x:f>
      </x:c>
      <x:c r="T153" s="62" t="str">
        <x:f>IF(H153="Ikke spillet","Ikke spillet",IF(H153="Planlagt","Planlagt",IF(OR(H153="",P153="",Q153=""),"",IF(H153="Vundet",IF(R153&gt;0,"Uventet sejr","Ventet sejr"),IF(R153&gt;=0,"Ventet nederlag","Uventet nederlag")))))</x:f>
      </x:c>
      <x:c r="U153" s="62" t="str">
        <x:f>IF(OR(H153="Ikke spillet",H153="Planlagt"),"",IF(OR(G153="",H153="",P153="",Q153=""),"",IF(AND(F153="Ungdomsholdturnering",OR(G153="Double",G153="Mix"),H153="Tabt"),0,IF(H153="Vundet",IF(R153&gt;0,VLOOKUP(ABS(R153),'BD Pointtabel'!$A$4:$G$15,4,TRUE),VLOOKUP(ABS(R153),'BD Pointtabel'!$A$4:$G$15,7,TRUE)),IF(R153&gt;=0,VLOOKUP(ABS(R153),'BD Pointtabel'!$A$4:$G$15,6,TRUE),VLOOKUP(ABS(R153),'BD Pointtabel'!$A$4:$G$15,3,TRUE))))))</x:f>
      </x:c>
      <x:c r="V153" s="62" t="str">
        <x:f>IF(G153="","",SUMIFS($U$10:U153,$AG$10:AG153,AG153,$G$10:G153,G153))</x:f>
      </x:c>
      <x:c r="W153" s="62" t="str">
        <x:f>IF(C153="","",IF(AN153&lt;&gt;1,"",IF(G153="Single",AA153,IF(G153="Double",AC153,AE153))))</x:f>
      </x:c>
      <x:c r="X153" s="62" t="str">
        <x:f>IF(C153="","",IF(AN153&lt;&gt;1,"",ROUND(((AA153*AB153+AC153*AD153+AE153*AF153)/(AB153+AD153+AF153))+IF((MAX(AA153,AC153,AE153)-(AA153+AC153+AE153-MAX(AA153,AC153,AE153)-MIN(AA153,AC153,AE153)))&lt;'Model &amp; indstillinger'!$E$16,'Model &amp; indstillinger'!$E$18,'Model &amp; indstillinger'!$E$20)*(MAX(AA153,AC153,AE153)-((AA153*AB153+AC153*AD153+AE153*AF153)/(AB153+AD153+AF153))),0)))</x:f>
      </x:c>
      <x:c r="Y153" s="62" t="str">
        <x:f>IF(X153="","",'Model &amp; indstillinger'!$B$4-X153)</x:f>
      </x:c>
      <x:c r="Z153" s="62" t="str">
        <x:f>IF(C153="","",IF(H153="Planlagt","Planlagt – ingen point endnu",IF(H153="Ikke spillet","Ikke spillet – tæller ikke som kamp og giver ingen point",IF(AN153=1,"STÆVNE SLUT – samlet point tilskrives","Frosset pointgrundlag – ingen tilskrivning endnu"))))</x:f>
      </x:c>
      <x:c r="AA153" s="60" t="str">
        <x:f>IF(C153="","",'Model &amp; indstillinger'!$B$6+SUMIFS($U$10:U153,$G$10:G153,"Single"))</x:f>
      </x:c>
      <x:c r="AB153" s="60" t="str">
        <x:f>IF(C153="","",'Model &amp; indstillinger'!$B$7+COUNTIFS($G$10:G153,"Single",$AK$10:AK153,1))</x:f>
      </x:c>
      <x:c r="AC153" s="60" t="str">
        <x:f>IF(C153="","",'Model &amp; indstillinger'!$B$8+SUMIFS($U$10:U153,$G$10:G153,"Double"))</x:f>
      </x:c>
      <x:c r="AD153" s="60" t="str">
        <x:f>IF(C153="","",'Model &amp; indstillinger'!$B$9+COUNTIFS($G$10:G153,"Double",$AK$10:AK153,1))</x:f>
      </x:c>
      <x:c r="AE153" s="60" t="str">
        <x:f>IF(C153="","",'Model &amp; indstillinger'!$B$10+SUMIFS($U$10:U153,$G$10:G153,"Mix"))</x:f>
      </x:c>
      <x:c r="AF153" s="60" t="str">
        <x:f>IF(C153="","",'Model &amp; indstillinger'!$B$11+COUNTIFS($G$10:G153,"Mix",$AK$10:AK153,1))</x:f>
      </x:c>
      <x:c r="AG153" s="60" t="str">
        <x:f>IF(C153="","",IF(C153=C152,AG152,AG152+1))</x:f>
      </x:c>
      <x:c r="AH153" s="60" t="str">
        <x:f>IF(C153="","",IF(AG153=AG152,AH152,AA152))</x:f>
      </x:c>
      <x:c r="AI153" s="60" t="str">
        <x:f>IF(C153="","",IF(AG153=AG152,AI152,AC152))</x:f>
      </x:c>
      <x:c r="AJ153" s="60" t="str">
        <x:f>IF(C153="","",IF(AG153=AG152,AJ152,AE152))</x:f>
      </x:c>
      <x:c r="AK153" s="60" t="n">
        <x:f>IF(OR(H153="Vundet",H153="Tabt"),1,0)</x:f>
        <x:v>0</x:v>
      </x:c>
      <x:c r="AL153" s="60" t="n"/>
      <x:c r="AM153" s="60" t="n">
        <x:f>MAX($AG$10:$AG$209)</x:f>
        <x:v>4</x:v>
      </x:c>
      <x:c r="AN153" s="60" t="str">
        <x:f>IF(C153="","",IF(AND(C154&lt;&gt;"",C154&lt;&gt;C153),1,0))</x:f>
      </x:c>
      <x:c r="AO153" s="60" t="n"/>
      <x:c r="AP153" s="60" t="n">
        <x:f>MAX($AG$10:$AG$209)</x:f>
        <x:v>4</x:v>
      </x:c>
      <x:c r="AQ153" t="str">
        <x:f>AG153</x:f>
      </x:c>
      <x:c r="AR153" t="n">
        <x:f>C153</x:f>
        <x:v>0</x:v>
      </x:c>
      <x:c r="AS153" t="n">
        <x:f>E153</x:f>
        <x:v>0</x:v>
      </x:c>
    </x:row>
    <x:row r="154">
      <x:c r="A154" s="60" t="str">
        <x:f>IF(C154="","",COUNTIF($C$10:C154,"&lt;&gt;"))</x:f>
      </x:c>
      <x:c r="B154" s="122" t="n"/>
      <x:c r="C154" s="87" t="n"/>
      <x:c r="D154" s="87" t="n"/>
      <x:c r="E154" s="87" t="n"/>
      <x:c r="F154" s="87" t="n"/>
      <x:c r="G154" s="87" t="n"/>
      <x:c r="H154" s="87" t="n"/>
      <x:c r="I154" s="87" t="n"/>
      <x:c r="J154" s="87" t="n"/>
      <x:c r="K154" s="87" t="n"/>
      <x:c r="L154" s="87" t="n"/>
      <x:c r="M154" s="87" t="n"/>
      <x:c r="N154" s="87" t="n"/>
      <x:c r="O154" s="62" t="str">
        <x:f>IF(G154="","",IF(G154="Single",AH154,IF(G154="Double",AI154,AJ154)))</x:f>
      </x:c>
      <x:c r="P154" s="62" t="str">
        <x:f>IF(OR(G154="",H154="Ikke spillet"),"",IF(G154="Single",O154,IF(J154="","",(O154+J154)/2)))</x:f>
      </x:c>
      <x:c r="Q154" s="62" t="str">
        <x:f>IF(OR(G154="",H154="Ikke spillet"),"",IF(G154="Single",L154,IF(OR(L154="",N154=""),"",(L154+N154)/2)))</x:f>
      </x:c>
      <x:c r="R154" s="62" t="str">
        <x:f>IF(OR(P154="",Q154=""),"",Q154-P154)</x:f>
      </x:c>
      <x:c r="S154" s="62" t="str">
        <x:f>IF(H154="Ikke spillet","",IF(R154="","",IF(ABS(R154)&lt;0.000001,"Lige (0)",VLOOKUP(ABS(R154),'BD Pointtabel'!$A$4:$G$15,2,TRUE))))</x:f>
      </x:c>
      <x:c r="T154" s="62" t="str">
        <x:f>IF(H154="Ikke spillet","Ikke spillet",IF(H154="Planlagt","Planlagt",IF(OR(H154="",P154="",Q154=""),"",IF(H154="Vundet",IF(R154&gt;0,"Uventet sejr","Ventet sejr"),IF(R154&gt;=0,"Ventet nederlag","Uventet nederlag")))))</x:f>
      </x:c>
      <x:c r="U154" s="62" t="str">
        <x:f>IF(OR(H154="Ikke spillet",H154="Planlagt"),"",IF(OR(G154="",H154="",P154="",Q154=""),"",IF(AND(F154="Ungdomsholdturnering",OR(G154="Double",G154="Mix"),H154="Tabt"),0,IF(H154="Vundet",IF(R154&gt;0,VLOOKUP(ABS(R154),'BD Pointtabel'!$A$4:$G$15,4,TRUE),VLOOKUP(ABS(R154),'BD Pointtabel'!$A$4:$G$15,7,TRUE)),IF(R154&gt;=0,VLOOKUP(ABS(R154),'BD Pointtabel'!$A$4:$G$15,6,TRUE),VLOOKUP(ABS(R154),'BD Pointtabel'!$A$4:$G$15,3,TRUE))))))</x:f>
      </x:c>
      <x:c r="V154" s="62" t="str">
        <x:f>IF(G154="","",SUMIFS($U$10:U154,$AG$10:AG154,AG154,$G$10:G154,G154))</x:f>
      </x:c>
      <x:c r="W154" s="62" t="str">
        <x:f>IF(C154="","",IF(AN154&lt;&gt;1,"",IF(G154="Single",AA154,IF(G154="Double",AC154,AE154))))</x:f>
      </x:c>
      <x:c r="X154" s="62" t="str">
        <x:f>IF(C154="","",IF(AN154&lt;&gt;1,"",ROUND(((AA154*AB154+AC154*AD154+AE154*AF154)/(AB154+AD154+AF154))+IF((MAX(AA154,AC154,AE154)-(AA154+AC154+AE154-MAX(AA154,AC154,AE154)-MIN(AA154,AC154,AE154)))&lt;'Model &amp; indstillinger'!$E$16,'Model &amp; indstillinger'!$E$18,'Model &amp; indstillinger'!$E$20)*(MAX(AA154,AC154,AE154)-((AA154*AB154+AC154*AD154+AE154*AF154)/(AB154+AD154+AF154))),0)))</x:f>
      </x:c>
      <x:c r="Y154" s="62" t="str">
        <x:f>IF(X154="","",'Model &amp; indstillinger'!$B$4-X154)</x:f>
      </x:c>
      <x:c r="Z154" s="62" t="str">
        <x:f>IF(C154="","",IF(H154="Planlagt","Planlagt – ingen point endnu",IF(H154="Ikke spillet","Ikke spillet – tæller ikke som kamp og giver ingen point",IF(AN154=1,"STÆVNE SLUT – samlet point tilskrives","Frosset pointgrundlag – ingen tilskrivning endnu"))))</x:f>
      </x:c>
      <x:c r="AA154" s="60" t="str">
        <x:f>IF(C154="","",'Model &amp; indstillinger'!$B$6+SUMIFS($U$10:U154,$G$10:G154,"Single"))</x:f>
      </x:c>
      <x:c r="AB154" s="60" t="str">
        <x:f>IF(C154="","",'Model &amp; indstillinger'!$B$7+COUNTIFS($G$10:G154,"Single",$AK$10:AK154,1))</x:f>
      </x:c>
      <x:c r="AC154" s="60" t="str">
        <x:f>IF(C154="","",'Model &amp; indstillinger'!$B$8+SUMIFS($U$10:U154,$G$10:G154,"Double"))</x:f>
      </x:c>
      <x:c r="AD154" s="60" t="str">
        <x:f>IF(C154="","",'Model &amp; indstillinger'!$B$9+COUNTIFS($G$10:G154,"Double",$AK$10:AK154,1))</x:f>
      </x:c>
      <x:c r="AE154" s="60" t="str">
        <x:f>IF(C154="","",'Model &amp; indstillinger'!$B$10+SUMIFS($U$10:U154,$G$10:G154,"Mix"))</x:f>
      </x:c>
      <x:c r="AF154" s="60" t="str">
        <x:f>IF(C154="","",'Model &amp; indstillinger'!$B$11+COUNTIFS($G$10:G154,"Mix",$AK$10:AK154,1))</x:f>
      </x:c>
      <x:c r="AG154" s="60" t="str">
        <x:f>IF(C154="","",IF(C154=C153,AG153,AG153+1))</x:f>
      </x:c>
      <x:c r="AH154" s="60" t="str">
        <x:f>IF(C154="","",IF(AG154=AG153,AH153,AA153))</x:f>
      </x:c>
      <x:c r="AI154" s="60" t="str">
        <x:f>IF(C154="","",IF(AG154=AG153,AI153,AC153))</x:f>
      </x:c>
      <x:c r="AJ154" s="60" t="str">
        <x:f>IF(C154="","",IF(AG154=AG153,AJ153,AE153))</x:f>
      </x:c>
      <x:c r="AK154" s="60" t="n">
        <x:f>IF(OR(H154="Vundet",H154="Tabt"),1,0)</x:f>
        <x:v>0</x:v>
      </x:c>
      <x:c r="AL154" s="60" t="n"/>
      <x:c r="AM154" s="60" t="n">
        <x:f>MAX($AG$10:$AG$209)</x:f>
        <x:v>4</x:v>
      </x:c>
      <x:c r="AN154" s="60" t="str">
        <x:f>IF(C154="","",IF(AND(C155&lt;&gt;"",C155&lt;&gt;C154),1,0))</x:f>
      </x:c>
      <x:c r="AO154" s="60" t="n"/>
      <x:c r="AP154" s="60" t="n">
        <x:f>MAX($AG$10:$AG$209)</x:f>
        <x:v>4</x:v>
      </x:c>
      <x:c r="AQ154" t="str">
        <x:f>AG154</x:f>
      </x:c>
      <x:c r="AR154" t="n">
        <x:f>C154</x:f>
        <x:v>0</x:v>
      </x:c>
      <x:c r="AS154" t="n">
        <x:f>E154</x:f>
        <x:v>0</x:v>
      </x:c>
    </x:row>
    <x:row r="155">
      <x:c r="A155" s="60" t="str">
        <x:f>IF(C155="","",COUNTIF($C$10:C155,"&lt;&gt;"))</x:f>
      </x:c>
      <x:c r="B155" s="122" t="n"/>
      <x:c r="C155" s="87" t="n"/>
      <x:c r="D155" s="87" t="n"/>
      <x:c r="E155" s="87" t="n"/>
      <x:c r="F155" s="87" t="n"/>
      <x:c r="G155" s="87" t="n"/>
      <x:c r="H155" s="87" t="n"/>
      <x:c r="I155" s="87" t="n"/>
      <x:c r="J155" s="87" t="n"/>
      <x:c r="K155" s="87" t="n"/>
      <x:c r="L155" s="87" t="n"/>
      <x:c r="M155" s="87" t="n"/>
      <x:c r="N155" s="87" t="n"/>
      <x:c r="O155" s="62" t="str">
        <x:f>IF(G155="","",IF(G155="Single",AH155,IF(G155="Double",AI155,AJ155)))</x:f>
      </x:c>
      <x:c r="P155" s="62" t="str">
        <x:f>IF(OR(G155="",H155="Ikke spillet"),"",IF(G155="Single",O155,IF(J155="","",(O155+J155)/2)))</x:f>
      </x:c>
      <x:c r="Q155" s="62" t="str">
        <x:f>IF(OR(G155="",H155="Ikke spillet"),"",IF(G155="Single",L155,IF(OR(L155="",N155=""),"",(L155+N155)/2)))</x:f>
      </x:c>
      <x:c r="R155" s="62" t="str">
        <x:f>IF(OR(P155="",Q155=""),"",Q155-P155)</x:f>
      </x:c>
      <x:c r="S155" s="62" t="str">
        <x:f>IF(H155="Ikke spillet","",IF(R155="","",IF(ABS(R155)&lt;0.000001,"Lige (0)",VLOOKUP(ABS(R155),'BD Pointtabel'!$A$4:$G$15,2,TRUE))))</x:f>
      </x:c>
      <x:c r="T155" s="62" t="str">
        <x:f>IF(H155="Ikke spillet","Ikke spillet",IF(H155="Planlagt","Planlagt",IF(OR(H155="",P155="",Q155=""),"",IF(H155="Vundet",IF(R155&gt;0,"Uventet sejr","Ventet sejr"),IF(R155&gt;=0,"Ventet nederlag","Uventet nederlag")))))</x:f>
      </x:c>
      <x:c r="U155" s="62" t="str">
        <x:f>IF(OR(H155="Ikke spillet",H155="Planlagt"),"",IF(OR(G155="",H155="",P155="",Q155=""),"",IF(AND(F155="Ungdomsholdturnering",OR(G155="Double",G155="Mix"),H155="Tabt"),0,IF(H155="Vundet",IF(R155&gt;0,VLOOKUP(ABS(R155),'BD Pointtabel'!$A$4:$G$15,4,TRUE),VLOOKUP(ABS(R155),'BD Pointtabel'!$A$4:$G$15,7,TRUE)),IF(R155&gt;=0,VLOOKUP(ABS(R155),'BD Pointtabel'!$A$4:$G$15,6,TRUE),VLOOKUP(ABS(R155),'BD Pointtabel'!$A$4:$G$15,3,TRUE))))))</x:f>
      </x:c>
      <x:c r="V155" s="62" t="str">
        <x:f>IF(G155="","",SUMIFS($U$10:U155,$AG$10:AG155,AG155,$G$10:G155,G155))</x:f>
      </x:c>
      <x:c r="W155" s="62" t="str">
        <x:f>IF(C155="","",IF(AN155&lt;&gt;1,"",IF(G155="Single",AA155,IF(G155="Double",AC155,AE155))))</x:f>
      </x:c>
      <x:c r="X155" s="62" t="str">
        <x:f>IF(C155="","",IF(AN155&lt;&gt;1,"",ROUND(((AA155*AB155+AC155*AD155+AE155*AF155)/(AB155+AD155+AF155))+IF((MAX(AA155,AC155,AE155)-(AA155+AC155+AE155-MAX(AA155,AC155,AE155)-MIN(AA155,AC155,AE155)))&lt;'Model &amp; indstillinger'!$E$16,'Model &amp; indstillinger'!$E$18,'Model &amp; indstillinger'!$E$20)*(MAX(AA155,AC155,AE155)-((AA155*AB155+AC155*AD155+AE155*AF155)/(AB155+AD155+AF155))),0)))</x:f>
      </x:c>
      <x:c r="Y155" s="62" t="str">
        <x:f>IF(X155="","",'Model &amp; indstillinger'!$B$4-X155)</x:f>
      </x:c>
      <x:c r="Z155" s="62" t="str">
        <x:f>IF(C155="","",IF(H155="Planlagt","Planlagt – ingen point endnu",IF(H155="Ikke spillet","Ikke spillet – tæller ikke som kamp og giver ingen point",IF(AN155=1,"STÆVNE SLUT – samlet point tilskrives","Frosset pointgrundlag – ingen tilskrivning endnu"))))</x:f>
      </x:c>
      <x:c r="AA155" s="60" t="str">
        <x:f>IF(C155="","",'Model &amp; indstillinger'!$B$6+SUMIFS($U$10:U155,$G$10:G155,"Single"))</x:f>
      </x:c>
      <x:c r="AB155" s="60" t="str">
        <x:f>IF(C155="","",'Model &amp; indstillinger'!$B$7+COUNTIFS($G$10:G155,"Single",$AK$10:AK155,1))</x:f>
      </x:c>
      <x:c r="AC155" s="60" t="str">
        <x:f>IF(C155="","",'Model &amp; indstillinger'!$B$8+SUMIFS($U$10:U155,$G$10:G155,"Double"))</x:f>
      </x:c>
      <x:c r="AD155" s="60" t="str">
        <x:f>IF(C155="","",'Model &amp; indstillinger'!$B$9+COUNTIFS($G$10:G155,"Double",$AK$10:AK155,1))</x:f>
      </x:c>
      <x:c r="AE155" s="60" t="str">
        <x:f>IF(C155="","",'Model &amp; indstillinger'!$B$10+SUMIFS($U$10:U155,$G$10:G155,"Mix"))</x:f>
      </x:c>
      <x:c r="AF155" s="60" t="str">
        <x:f>IF(C155="","",'Model &amp; indstillinger'!$B$11+COUNTIFS($G$10:G155,"Mix",$AK$10:AK155,1))</x:f>
      </x:c>
      <x:c r="AG155" s="60" t="str">
        <x:f>IF(C155="","",IF(C155=C154,AG154,AG154+1))</x:f>
      </x:c>
      <x:c r="AH155" s="60" t="str">
        <x:f>IF(C155="","",IF(AG155=AG154,AH154,AA154))</x:f>
      </x:c>
      <x:c r="AI155" s="60" t="str">
        <x:f>IF(C155="","",IF(AG155=AG154,AI154,AC154))</x:f>
      </x:c>
      <x:c r="AJ155" s="60" t="str">
        <x:f>IF(C155="","",IF(AG155=AG154,AJ154,AE154))</x:f>
      </x:c>
      <x:c r="AK155" s="60" t="n">
        <x:f>IF(OR(H155="Vundet",H155="Tabt"),1,0)</x:f>
        <x:v>0</x:v>
      </x:c>
      <x:c r="AL155" s="60" t="n"/>
      <x:c r="AM155" s="60" t="n">
        <x:f>MAX($AG$10:$AG$209)</x:f>
        <x:v>4</x:v>
      </x:c>
      <x:c r="AN155" s="60" t="str">
        <x:f>IF(C155="","",IF(AND(C156&lt;&gt;"",C156&lt;&gt;C155),1,0))</x:f>
      </x:c>
      <x:c r="AO155" s="60" t="n"/>
      <x:c r="AP155" s="60" t="n">
        <x:f>MAX($AG$10:$AG$209)</x:f>
        <x:v>4</x:v>
      </x:c>
      <x:c r="AQ155" t="str">
        <x:f>AG155</x:f>
      </x:c>
      <x:c r="AR155" t="n">
        <x:f>C155</x:f>
        <x:v>0</x:v>
      </x:c>
      <x:c r="AS155" t="n">
        <x:f>E155</x:f>
        <x:v>0</x:v>
      </x:c>
    </x:row>
    <x:row r="156">
      <x:c r="A156" s="60" t="str">
        <x:f>IF(C156="","",COUNTIF($C$10:C156,"&lt;&gt;"))</x:f>
      </x:c>
      <x:c r="B156" s="122" t="n"/>
      <x:c r="C156" s="87" t="n"/>
      <x:c r="D156" s="87" t="n"/>
      <x:c r="E156" s="87" t="n"/>
      <x:c r="F156" s="87" t="n"/>
      <x:c r="G156" s="87" t="n"/>
      <x:c r="H156" s="87" t="n"/>
      <x:c r="I156" s="87" t="n"/>
      <x:c r="J156" s="87" t="n"/>
      <x:c r="K156" s="87" t="n"/>
      <x:c r="L156" s="87" t="n"/>
      <x:c r="M156" s="87" t="n"/>
      <x:c r="N156" s="87" t="n"/>
      <x:c r="O156" s="62" t="str">
        <x:f>IF(G156="","",IF(G156="Single",AH156,IF(G156="Double",AI156,AJ156)))</x:f>
      </x:c>
      <x:c r="P156" s="62" t="str">
        <x:f>IF(OR(G156="",H156="Ikke spillet"),"",IF(G156="Single",O156,IF(J156="","",(O156+J156)/2)))</x:f>
      </x:c>
      <x:c r="Q156" s="62" t="str">
        <x:f>IF(OR(G156="",H156="Ikke spillet"),"",IF(G156="Single",L156,IF(OR(L156="",N156=""),"",(L156+N156)/2)))</x:f>
      </x:c>
      <x:c r="R156" s="62" t="str">
        <x:f>IF(OR(P156="",Q156=""),"",Q156-P156)</x:f>
      </x:c>
      <x:c r="S156" s="62" t="str">
        <x:f>IF(H156="Ikke spillet","",IF(R156="","",IF(ABS(R156)&lt;0.000001,"Lige (0)",VLOOKUP(ABS(R156),'BD Pointtabel'!$A$4:$G$15,2,TRUE))))</x:f>
      </x:c>
      <x:c r="T156" s="62" t="str">
        <x:f>IF(H156="Ikke spillet","Ikke spillet",IF(H156="Planlagt","Planlagt",IF(OR(H156="",P156="",Q156=""),"",IF(H156="Vundet",IF(R156&gt;0,"Uventet sejr","Ventet sejr"),IF(R156&gt;=0,"Ventet nederlag","Uventet nederlag")))))</x:f>
      </x:c>
      <x:c r="U156" s="62" t="str">
        <x:f>IF(OR(H156="Ikke spillet",H156="Planlagt"),"",IF(OR(G156="",H156="",P156="",Q156=""),"",IF(AND(F156="Ungdomsholdturnering",OR(G156="Double",G156="Mix"),H156="Tabt"),0,IF(H156="Vundet",IF(R156&gt;0,VLOOKUP(ABS(R156),'BD Pointtabel'!$A$4:$G$15,4,TRUE),VLOOKUP(ABS(R156),'BD Pointtabel'!$A$4:$G$15,7,TRUE)),IF(R156&gt;=0,VLOOKUP(ABS(R156),'BD Pointtabel'!$A$4:$G$15,6,TRUE),VLOOKUP(ABS(R156),'BD Pointtabel'!$A$4:$G$15,3,TRUE))))))</x:f>
      </x:c>
      <x:c r="V156" s="62" t="str">
        <x:f>IF(G156="","",SUMIFS($U$10:U156,$AG$10:AG156,AG156,$G$10:G156,G156))</x:f>
      </x:c>
      <x:c r="W156" s="62" t="str">
        <x:f>IF(C156="","",IF(AN156&lt;&gt;1,"",IF(G156="Single",AA156,IF(G156="Double",AC156,AE156))))</x:f>
      </x:c>
      <x:c r="X156" s="62" t="str">
        <x:f>IF(C156="","",IF(AN156&lt;&gt;1,"",ROUND(((AA156*AB156+AC156*AD156+AE156*AF156)/(AB156+AD156+AF156))+IF((MAX(AA156,AC156,AE156)-(AA156+AC156+AE156-MAX(AA156,AC156,AE156)-MIN(AA156,AC156,AE156)))&lt;'Model &amp; indstillinger'!$E$16,'Model &amp; indstillinger'!$E$18,'Model &amp; indstillinger'!$E$20)*(MAX(AA156,AC156,AE156)-((AA156*AB156+AC156*AD156+AE156*AF156)/(AB156+AD156+AF156))),0)))</x:f>
      </x:c>
      <x:c r="Y156" s="62" t="str">
        <x:f>IF(X156="","",'Model &amp; indstillinger'!$B$4-X156)</x:f>
      </x:c>
      <x:c r="Z156" s="62" t="str">
        <x:f>IF(C156="","",IF(H156="Planlagt","Planlagt – ingen point endnu",IF(H156="Ikke spillet","Ikke spillet – tæller ikke som kamp og giver ingen point",IF(AN156=1,"STÆVNE SLUT – samlet point tilskrives","Frosset pointgrundlag – ingen tilskrivning endnu"))))</x:f>
      </x:c>
      <x:c r="AA156" s="60" t="str">
        <x:f>IF(C156="","",'Model &amp; indstillinger'!$B$6+SUMIFS($U$10:U156,$G$10:G156,"Single"))</x:f>
      </x:c>
      <x:c r="AB156" s="60" t="str">
        <x:f>IF(C156="","",'Model &amp; indstillinger'!$B$7+COUNTIFS($G$10:G156,"Single",$AK$10:AK156,1))</x:f>
      </x:c>
      <x:c r="AC156" s="60" t="str">
        <x:f>IF(C156="","",'Model &amp; indstillinger'!$B$8+SUMIFS($U$10:U156,$G$10:G156,"Double"))</x:f>
      </x:c>
      <x:c r="AD156" s="60" t="str">
        <x:f>IF(C156="","",'Model &amp; indstillinger'!$B$9+COUNTIFS($G$10:G156,"Double",$AK$10:AK156,1))</x:f>
      </x:c>
      <x:c r="AE156" s="60" t="str">
        <x:f>IF(C156="","",'Model &amp; indstillinger'!$B$10+SUMIFS($U$10:U156,$G$10:G156,"Mix"))</x:f>
      </x:c>
      <x:c r="AF156" s="60" t="str">
        <x:f>IF(C156="","",'Model &amp; indstillinger'!$B$11+COUNTIFS($G$10:G156,"Mix",$AK$10:AK156,1))</x:f>
      </x:c>
      <x:c r="AG156" s="60" t="str">
        <x:f>IF(C156="","",IF(C156=C155,AG155,AG155+1))</x:f>
      </x:c>
      <x:c r="AH156" s="60" t="str">
        <x:f>IF(C156="","",IF(AG156=AG155,AH155,AA155))</x:f>
      </x:c>
      <x:c r="AI156" s="60" t="str">
        <x:f>IF(C156="","",IF(AG156=AG155,AI155,AC155))</x:f>
      </x:c>
      <x:c r="AJ156" s="60" t="str">
        <x:f>IF(C156="","",IF(AG156=AG155,AJ155,AE155))</x:f>
      </x:c>
      <x:c r="AK156" s="60" t="n">
        <x:f>IF(OR(H156="Vundet",H156="Tabt"),1,0)</x:f>
        <x:v>0</x:v>
      </x:c>
      <x:c r="AL156" s="60" t="n"/>
      <x:c r="AM156" s="60" t="n">
        <x:f>MAX($AG$10:$AG$209)</x:f>
        <x:v>4</x:v>
      </x:c>
      <x:c r="AN156" s="60" t="str">
        <x:f>IF(C156="","",IF(AND(C157&lt;&gt;"",C157&lt;&gt;C156),1,0))</x:f>
      </x:c>
      <x:c r="AO156" s="60" t="n"/>
      <x:c r="AP156" s="60" t="n">
        <x:f>MAX($AG$10:$AG$209)</x:f>
        <x:v>4</x:v>
      </x:c>
      <x:c r="AQ156" t="str">
        <x:f>AG156</x:f>
      </x:c>
      <x:c r="AR156" t="n">
        <x:f>C156</x:f>
        <x:v>0</x:v>
      </x:c>
      <x:c r="AS156" t="n">
        <x:f>E156</x:f>
        <x:v>0</x:v>
      </x:c>
    </x:row>
    <x:row r="157">
      <x:c r="A157" s="60" t="str">
        <x:f>IF(C157="","",COUNTIF($C$10:C157,"&lt;&gt;"))</x:f>
      </x:c>
      <x:c r="B157" s="122" t="n"/>
      <x:c r="C157" s="87" t="n"/>
      <x:c r="D157" s="87" t="n"/>
      <x:c r="E157" s="87" t="n"/>
      <x:c r="F157" s="87" t="n"/>
      <x:c r="G157" s="87" t="n"/>
      <x:c r="H157" s="87" t="n"/>
      <x:c r="I157" s="87" t="n"/>
      <x:c r="J157" s="87" t="n"/>
      <x:c r="K157" s="87" t="n"/>
      <x:c r="L157" s="87" t="n"/>
      <x:c r="M157" s="87" t="n"/>
      <x:c r="N157" s="87" t="n"/>
      <x:c r="O157" s="62" t="str">
        <x:f>IF(G157="","",IF(G157="Single",AH157,IF(G157="Double",AI157,AJ157)))</x:f>
      </x:c>
      <x:c r="P157" s="62" t="str">
        <x:f>IF(OR(G157="",H157="Ikke spillet"),"",IF(G157="Single",O157,IF(J157="","",(O157+J157)/2)))</x:f>
      </x:c>
      <x:c r="Q157" s="62" t="str">
        <x:f>IF(OR(G157="",H157="Ikke spillet"),"",IF(G157="Single",L157,IF(OR(L157="",N157=""),"",(L157+N157)/2)))</x:f>
      </x:c>
      <x:c r="R157" s="62" t="str">
        <x:f>IF(OR(P157="",Q157=""),"",Q157-P157)</x:f>
      </x:c>
      <x:c r="S157" s="62" t="str">
        <x:f>IF(H157="Ikke spillet","",IF(R157="","",IF(ABS(R157)&lt;0.000001,"Lige (0)",VLOOKUP(ABS(R157),'BD Pointtabel'!$A$4:$G$15,2,TRUE))))</x:f>
      </x:c>
      <x:c r="T157" s="62" t="str">
        <x:f>IF(H157="Ikke spillet","Ikke spillet",IF(H157="Planlagt","Planlagt",IF(OR(H157="",P157="",Q157=""),"",IF(H157="Vundet",IF(R157&gt;0,"Uventet sejr","Ventet sejr"),IF(R157&gt;=0,"Ventet nederlag","Uventet nederlag")))))</x:f>
      </x:c>
      <x:c r="U157" s="62" t="str">
        <x:f>IF(OR(H157="Ikke spillet",H157="Planlagt"),"",IF(OR(G157="",H157="",P157="",Q157=""),"",IF(AND(F157="Ungdomsholdturnering",OR(G157="Double",G157="Mix"),H157="Tabt"),0,IF(H157="Vundet",IF(R157&gt;0,VLOOKUP(ABS(R157),'BD Pointtabel'!$A$4:$G$15,4,TRUE),VLOOKUP(ABS(R157),'BD Pointtabel'!$A$4:$G$15,7,TRUE)),IF(R157&gt;=0,VLOOKUP(ABS(R157),'BD Pointtabel'!$A$4:$G$15,6,TRUE),VLOOKUP(ABS(R157),'BD Pointtabel'!$A$4:$G$15,3,TRUE))))))</x:f>
      </x:c>
      <x:c r="V157" s="62" t="str">
        <x:f>IF(G157="","",SUMIFS($U$10:U157,$AG$10:AG157,AG157,$G$10:G157,G157))</x:f>
      </x:c>
      <x:c r="W157" s="62" t="str">
        <x:f>IF(C157="","",IF(AN157&lt;&gt;1,"",IF(G157="Single",AA157,IF(G157="Double",AC157,AE157))))</x:f>
      </x:c>
      <x:c r="X157" s="62" t="str">
        <x:f>IF(C157="","",IF(AN157&lt;&gt;1,"",ROUND(((AA157*AB157+AC157*AD157+AE157*AF157)/(AB157+AD157+AF157))+IF((MAX(AA157,AC157,AE157)-(AA157+AC157+AE157-MAX(AA157,AC157,AE157)-MIN(AA157,AC157,AE157)))&lt;'Model &amp; indstillinger'!$E$16,'Model &amp; indstillinger'!$E$18,'Model &amp; indstillinger'!$E$20)*(MAX(AA157,AC157,AE157)-((AA157*AB157+AC157*AD157+AE157*AF157)/(AB157+AD157+AF157))),0)))</x:f>
      </x:c>
      <x:c r="Y157" s="62" t="str">
        <x:f>IF(X157="","",'Model &amp; indstillinger'!$B$4-X157)</x:f>
      </x:c>
      <x:c r="Z157" s="62" t="str">
        <x:f>IF(C157="","",IF(H157="Planlagt","Planlagt – ingen point endnu",IF(H157="Ikke spillet","Ikke spillet – tæller ikke som kamp og giver ingen point",IF(AN157=1,"STÆVNE SLUT – samlet point tilskrives","Frosset pointgrundlag – ingen tilskrivning endnu"))))</x:f>
      </x:c>
      <x:c r="AA157" s="60" t="str">
        <x:f>IF(C157="","",'Model &amp; indstillinger'!$B$6+SUMIFS($U$10:U157,$G$10:G157,"Single"))</x:f>
      </x:c>
      <x:c r="AB157" s="60" t="str">
        <x:f>IF(C157="","",'Model &amp; indstillinger'!$B$7+COUNTIFS($G$10:G157,"Single",$AK$10:AK157,1))</x:f>
      </x:c>
      <x:c r="AC157" s="60" t="str">
        <x:f>IF(C157="","",'Model &amp; indstillinger'!$B$8+SUMIFS($U$10:U157,$G$10:G157,"Double"))</x:f>
      </x:c>
      <x:c r="AD157" s="60" t="str">
        <x:f>IF(C157="","",'Model &amp; indstillinger'!$B$9+COUNTIFS($G$10:G157,"Double",$AK$10:AK157,1))</x:f>
      </x:c>
      <x:c r="AE157" s="60" t="str">
        <x:f>IF(C157="","",'Model &amp; indstillinger'!$B$10+SUMIFS($U$10:U157,$G$10:G157,"Mix"))</x:f>
      </x:c>
      <x:c r="AF157" s="60" t="str">
        <x:f>IF(C157="","",'Model &amp; indstillinger'!$B$11+COUNTIFS($G$10:G157,"Mix",$AK$10:AK157,1))</x:f>
      </x:c>
      <x:c r="AG157" s="60" t="str">
        <x:f>IF(C157="","",IF(C157=C156,AG156,AG156+1))</x:f>
      </x:c>
      <x:c r="AH157" s="60" t="str">
        <x:f>IF(C157="","",IF(AG157=AG156,AH156,AA156))</x:f>
      </x:c>
      <x:c r="AI157" s="60" t="str">
        <x:f>IF(C157="","",IF(AG157=AG156,AI156,AC156))</x:f>
      </x:c>
      <x:c r="AJ157" s="60" t="str">
        <x:f>IF(C157="","",IF(AG157=AG156,AJ156,AE156))</x:f>
      </x:c>
      <x:c r="AK157" s="60" t="n">
        <x:f>IF(OR(H157="Vundet",H157="Tabt"),1,0)</x:f>
        <x:v>0</x:v>
      </x:c>
      <x:c r="AL157" s="60" t="n"/>
      <x:c r="AM157" s="60" t="n">
        <x:f>MAX($AG$10:$AG$209)</x:f>
        <x:v>4</x:v>
      </x:c>
      <x:c r="AN157" s="60" t="str">
        <x:f>IF(C157="","",IF(AND(C158&lt;&gt;"",C158&lt;&gt;C157),1,0))</x:f>
      </x:c>
      <x:c r="AO157" s="60" t="n"/>
      <x:c r="AP157" s="60" t="n">
        <x:f>MAX($AG$10:$AG$209)</x:f>
        <x:v>4</x:v>
      </x:c>
      <x:c r="AQ157" t="str">
        <x:f>AG157</x:f>
      </x:c>
      <x:c r="AR157" t="n">
        <x:f>C157</x:f>
        <x:v>0</x:v>
      </x:c>
      <x:c r="AS157" t="n">
        <x:f>E157</x:f>
        <x:v>0</x:v>
      </x:c>
    </x:row>
    <x:row r="158">
      <x:c r="A158" s="60" t="str">
        <x:f>IF(C158="","",COUNTIF($C$10:C158,"&lt;&gt;"))</x:f>
      </x:c>
      <x:c r="B158" s="122" t="n"/>
      <x:c r="C158" s="87" t="n"/>
      <x:c r="D158" s="87" t="n"/>
      <x:c r="E158" s="87" t="n"/>
      <x:c r="F158" s="87" t="n"/>
      <x:c r="G158" s="87" t="n"/>
      <x:c r="H158" s="87" t="n"/>
      <x:c r="I158" s="87" t="n"/>
      <x:c r="J158" s="87" t="n"/>
      <x:c r="K158" s="87" t="n"/>
      <x:c r="L158" s="87" t="n"/>
      <x:c r="M158" s="87" t="n"/>
      <x:c r="N158" s="87" t="n"/>
      <x:c r="O158" s="62" t="str">
        <x:f>IF(G158="","",IF(G158="Single",AH158,IF(G158="Double",AI158,AJ158)))</x:f>
      </x:c>
      <x:c r="P158" s="62" t="str">
        <x:f>IF(OR(G158="",H158="Ikke spillet"),"",IF(G158="Single",O158,IF(J158="","",(O158+J158)/2)))</x:f>
      </x:c>
      <x:c r="Q158" s="62" t="str">
        <x:f>IF(OR(G158="",H158="Ikke spillet"),"",IF(G158="Single",L158,IF(OR(L158="",N158=""),"",(L158+N158)/2)))</x:f>
      </x:c>
      <x:c r="R158" s="62" t="str">
        <x:f>IF(OR(P158="",Q158=""),"",Q158-P158)</x:f>
      </x:c>
      <x:c r="S158" s="62" t="str">
        <x:f>IF(H158="Ikke spillet","",IF(R158="","",IF(ABS(R158)&lt;0.000001,"Lige (0)",VLOOKUP(ABS(R158),'BD Pointtabel'!$A$4:$G$15,2,TRUE))))</x:f>
      </x:c>
      <x:c r="T158" s="62" t="str">
        <x:f>IF(H158="Ikke spillet","Ikke spillet",IF(H158="Planlagt","Planlagt",IF(OR(H158="",P158="",Q158=""),"",IF(H158="Vundet",IF(R158&gt;0,"Uventet sejr","Ventet sejr"),IF(R158&gt;=0,"Ventet nederlag","Uventet nederlag")))))</x:f>
      </x:c>
      <x:c r="U158" s="62" t="str">
        <x:f>IF(OR(H158="Ikke spillet",H158="Planlagt"),"",IF(OR(G158="",H158="",P158="",Q158=""),"",IF(AND(F158="Ungdomsholdturnering",OR(G158="Double",G158="Mix"),H158="Tabt"),0,IF(H158="Vundet",IF(R158&gt;0,VLOOKUP(ABS(R158),'BD Pointtabel'!$A$4:$G$15,4,TRUE),VLOOKUP(ABS(R158),'BD Pointtabel'!$A$4:$G$15,7,TRUE)),IF(R158&gt;=0,VLOOKUP(ABS(R158),'BD Pointtabel'!$A$4:$G$15,6,TRUE),VLOOKUP(ABS(R158),'BD Pointtabel'!$A$4:$G$15,3,TRUE))))))</x:f>
      </x:c>
      <x:c r="V158" s="62" t="str">
        <x:f>IF(G158="","",SUMIFS($U$10:U158,$AG$10:AG158,AG158,$G$10:G158,G158))</x:f>
      </x:c>
      <x:c r="W158" s="62" t="str">
        <x:f>IF(C158="","",IF(AN158&lt;&gt;1,"",IF(G158="Single",AA158,IF(G158="Double",AC158,AE158))))</x:f>
      </x:c>
      <x:c r="X158" s="62" t="str">
        <x:f>IF(C158="","",IF(AN158&lt;&gt;1,"",ROUND(((AA158*AB158+AC158*AD158+AE158*AF158)/(AB158+AD158+AF158))+IF((MAX(AA158,AC158,AE158)-(AA158+AC158+AE158-MAX(AA158,AC158,AE158)-MIN(AA158,AC158,AE158)))&lt;'Model &amp; indstillinger'!$E$16,'Model &amp; indstillinger'!$E$18,'Model &amp; indstillinger'!$E$20)*(MAX(AA158,AC158,AE158)-((AA158*AB158+AC158*AD158+AE158*AF158)/(AB158+AD158+AF158))),0)))</x:f>
      </x:c>
      <x:c r="Y158" s="62" t="str">
        <x:f>IF(X158="","",'Model &amp; indstillinger'!$B$4-X158)</x:f>
      </x:c>
      <x:c r="Z158" s="62" t="str">
        <x:f>IF(C158="","",IF(H158="Planlagt","Planlagt – ingen point endnu",IF(H158="Ikke spillet","Ikke spillet – tæller ikke som kamp og giver ingen point",IF(AN158=1,"STÆVNE SLUT – samlet point tilskrives","Frosset pointgrundlag – ingen tilskrivning endnu"))))</x:f>
      </x:c>
      <x:c r="AA158" s="60" t="str">
        <x:f>IF(C158="","",'Model &amp; indstillinger'!$B$6+SUMIFS($U$10:U158,$G$10:G158,"Single"))</x:f>
      </x:c>
      <x:c r="AB158" s="60" t="str">
        <x:f>IF(C158="","",'Model &amp; indstillinger'!$B$7+COUNTIFS($G$10:G158,"Single",$AK$10:AK158,1))</x:f>
      </x:c>
      <x:c r="AC158" s="60" t="str">
        <x:f>IF(C158="","",'Model &amp; indstillinger'!$B$8+SUMIFS($U$10:U158,$G$10:G158,"Double"))</x:f>
      </x:c>
      <x:c r="AD158" s="60" t="str">
        <x:f>IF(C158="","",'Model &amp; indstillinger'!$B$9+COUNTIFS($G$10:G158,"Double",$AK$10:AK158,1))</x:f>
      </x:c>
      <x:c r="AE158" s="60" t="str">
        <x:f>IF(C158="","",'Model &amp; indstillinger'!$B$10+SUMIFS($U$10:U158,$G$10:G158,"Mix"))</x:f>
      </x:c>
      <x:c r="AF158" s="60" t="str">
        <x:f>IF(C158="","",'Model &amp; indstillinger'!$B$11+COUNTIFS($G$10:G158,"Mix",$AK$10:AK158,1))</x:f>
      </x:c>
      <x:c r="AG158" s="60" t="str">
        <x:f>IF(C158="","",IF(C158=C157,AG157,AG157+1))</x:f>
      </x:c>
      <x:c r="AH158" s="60" t="str">
        <x:f>IF(C158="","",IF(AG158=AG157,AH157,AA157))</x:f>
      </x:c>
      <x:c r="AI158" s="60" t="str">
        <x:f>IF(C158="","",IF(AG158=AG157,AI157,AC157))</x:f>
      </x:c>
      <x:c r="AJ158" s="60" t="str">
        <x:f>IF(C158="","",IF(AG158=AG157,AJ157,AE157))</x:f>
      </x:c>
      <x:c r="AK158" s="60" t="n">
        <x:f>IF(OR(H158="Vundet",H158="Tabt"),1,0)</x:f>
        <x:v>0</x:v>
      </x:c>
      <x:c r="AL158" s="60" t="n"/>
      <x:c r="AM158" s="60" t="n">
        <x:f>MAX($AG$10:$AG$209)</x:f>
        <x:v>4</x:v>
      </x:c>
      <x:c r="AN158" s="60" t="str">
        <x:f>IF(C158="","",IF(AND(C159&lt;&gt;"",C159&lt;&gt;C158),1,0))</x:f>
      </x:c>
      <x:c r="AO158" s="60" t="n"/>
      <x:c r="AP158" s="60" t="n">
        <x:f>MAX($AG$10:$AG$209)</x:f>
        <x:v>4</x:v>
      </x:c>
      <x:c r="AQ158" t="str">
        <x:f>AG158</x:f>
      </x:c>
      <x:c r="AR158" t="n">
        <x:f>C158</x:f>
        <x:v>0</x:v>
      </x:c>
      <x:c r="AS158" t="n">
        <x:f>E158</x:f>
        <x:v>0</x:v>
      </x:c>
    </x:row>
    <x:row r="159">
      <x:c r="A159" s="60" t="str">
        <x:f>IF(C159="","",COUNTIF($C$10:C159,"&lt;&gt;"))</x:f>
      </x:c>
      <x:c r="B159" s="122" t="n"/>
      <x:c r="C159" s="87" t="n"/>
      <x:c r="D159" s="87" t="n"/>
      <x:c r="E159" s="87" t="n"/>
      <x:c r="F159" s="87" t="n"/>
      <x:c r="G159" s="87" t="n"/>
      <x:c r="H159" s="87" t="n"/>
      <x:c r="I159" s="87" t="n"/>
      <x:c r="J159" s="87" t="n"/>
      <x:c r="K159" s="87" t="n"/>
      <x:c r="L159" s="87" t="n"/>
      <x:c r="M159" s="87" t="n"/>
      <x:c r="N159" s="87" t="n"/>
      <x:c r="O159" s="62" t="str">
        <x:f>IF(G159="","",IF(G159="Single",AH159,IF(G159="Double",AI159,AJ159)))</x:f>
      </x:c>
      <x:c r="P159" s="62" t="str">
        <x:f>IF(OR(G159="",H159="Ikke spillet"),"",IF(G159="Single",O159,IF(J159="","",(O159+J159)/2)))</x:f>
      </x:c>
      <x:c r="Q159" s="62" t="str">
        <x:f>IF(OR(G159="",H159="Ikke spillet"),"",IF(G159="Single",L159,IF(OR(L159="",N159=""),"",(L159+N159)/2)))</x:f>
      </x:c>
      <x:c r="R159" s="62" t="str">
        <x:f>IF(OR(P159="",Q159=""),"",Q159-P159)</x:f>
      </x:c>
      <x:c r="S159" s="62" t="str">
        <x:f>IF(H159="Ikke spillet","",IF(R159="","",IF(ABS(R159)&lt;0.000001,"Lige (0)",VLOOKUP(ABS(R159),'BD Pointtabel'!$A$4:$G$15,2,TRUE))))</x:f>
      </x:c>
      <x:c r="T159" s="62" t="str">
        <x:f>IF(H159="Ikke spillet","Ikke spillet",IF(H159="Planlagt","Planlagt",IF(OR(H159="",P159="",Q159=""),"",IF(H159="Vundet",IF(R159&gt;0,"Uventet sejr","Ventet sejr"),IF(R159&gt;=0,"Ventet nederlag","Uventet nederlag")))))</x:f>
      </x:c>
      <x:c r="U159" s="62" t="str">
        <x:f>IF(OR(H159="Ikke spillet",H159="Planlagt"),"",IF(OR(G159="",H159="",P159="",Q159=""),"",IF(AND(F159="Ungdomsholdturnering",OR(G159="Double",G159="Mix"),H159="Tabt"),0,IF(H159="Vundet",IF(R159&gt;0,VLOOKUP(ABS(R159),'BD Pointtabel'!$A$4:$G$15,4,TRUE),VLOOKUP(ABS(R159),'BD Pointtabel'!$A$4:$G$15,7,TRUE)),IF(R159&gt;=0,VLOOKUP(ABS(R159),'BD Pointtabel'!$A$4:$G$15,6,TRUE),VLOOKUP(ABS(R159),'BD Pointtabel'!$A$4:$G$15,3,TRUE))))))</x:f>
      </x:c>
      <x:c r="V159" s="62" t="str">
        <x:f>IF(G159="","",SUMIFS($U$10:U159,$AG$10:AG159,AG159,$G$10:G159,G159))</x:f>
      </x:c>
      <x:c r="W159" s="62" t="str">
        <x:f>IF(C159="","",IF(AN159&lt;&gt;1,"",IF(G159="Single",AA159,IF(G159="Double",AC159,AE159))))</x:f>
      </x:c>
      <x:c r="X159" s="62" t="str">
        <x:f>IF(C159="","",IF(AN159&lt;&gt;1,"",ROUND(((AA159*AB159+AC159*AD159+AE159*AF159)/(AB159+AD159+AF159))+IF((MAX(AA159,AC159,AE159)-(AA159+AC159+AE159-MAX(AA159,AC159,AE159)-MIN(AA159,AC159,AE159)))&lt;'Model &amp; indstillinger'!$E$16,'Model &amp; indstillinger'!$E$18,'Model &amp; indstillinger'!$E$20)*(MAX(AA159,AC159,AE159)-((AA159*AB159+AC159*AD159+AE159*AF159)/(AB159+AD159+AF159))),0)))</x:f>
      </x:c>
      <x:c r="Y159" s="62" t="str">
        <x:f>IF(X159="","",'Model &amp; indstillinger'!$B$4-X159)</x:f>
      </x:c>
      <x:c r="Z159" s="62" t="str">
        <x:f>IF(C159="","",IF(H159="Planlagt","Planlagt – ingen point endnu",IF(H159="Ikke spillet","Ikke spillet – tæller ikke som kamp og giver ingen point",IF(AN159=1,"STÆVNE SLUT – samlet point tilskrives","Frosset pointgrundlag – ingen tilskrivning endnu"))))</x:f>
      </x:c>
      <x:c r="AA159" s="60" t="str">
        <x:f>IF(C159="","",'Model &amp; indstillinger'!$B$6+SUMIFS($U$10:U159,$G$10:G159,"Single"))</x:f>
      </x:c>
      <x:c r="AB159" s="60" t="str">
        <x:f>IF(C159="","",'Model &amp; indstillinger'!$B$7+COUNTIFS($G$10:G159,"Single",$AK$10:AK159,1))</x:f>
      </x:c>
      <x:c r="AC159" s="60" t="str">
        <x:f>IF(C159="","",'Model &amp; indstillinger'!$B$8+SUMIFS($U$10:U159,$G$10:G159,"Double"))</x:f>
      </x:c>
      <x:c r="AD159" s="60" t="str">
        <x:f>IF(C159="","",'Model &amp; indstillinger'!$B$9+COUNTIFS($G$10:G159,"Double",$AK$10:AK159,1))</x:f>
      </x:c>
      <x:c r="AE159" s="60" t="str">
        <x:f>IF(C159="","",'Model &amp; indstillinger'!$B$10+SUMIFS($U$10:U159,$G$10:G159,"Mix"))</x:f>
      </x:c>
      <x:c r="AF159" s="60" t="str">
        <x:f>IF(C159="","",'Model &amp; indstillinger'!$B$11+COUNTIFS($G$10:G159,"Mix",$AK$10:AK159,1))</x:f>
      </x:c>
      <x:c r="AG159" s="60" t="str">
        <x:f>IF(C159="","",IF(C159=C158,AG158,AG158+1))</x:f>
      </x:c>
      <x:c r="AH159" s="60" t="str">
        <x:f>IF(C159="","",IF(AG159=AG158,AH158,AA158))</x:f>
      </x:c>
      <x:c r="AI159" s="60" t="str">
        <x:f>IF(C159="","",IF(AG159=AG158,AI158,AC158))</x:f>
      </x:c>
      <x:c r="AJ159" s="60" t="str">
        <x:f>IF(C159="","",IF(AG159=AG158,AJ158,AE158))</x:f>
      </x:c>
      <x:c r="AK159" s="60" t="n">
        <x:f>IF(OR(H159="Vundet",H159="Tabt"),1,0)</x:f>
        <x:v>0</x:v>
      </x:c>
      <x:c r="AL159" s="60" t="n"/>
      <x:c r="AM159" s="60" t="n">
        <x:f>MAX($AG$10:$AG$209)</x:f>
        <x:v>4</x:v>
      </x:c>
      <x:c r="AN159" s="60" t="str">
        <x:f>IF(C159="","",IF(AND(C160&lt;&gt;"",C160&lt;&gt;C159),1,0))</x:f>
      </x:c>
      <x:c r="AO159" s="60" t="n"/>
      <x:c r="AP159" s="60" t="n">
        <x:f>MAX($AG$10:$AG$209)</x:f>
        <x:v>4</x:v>
      </x:c>
      <x:c r="AQ159" t="str">
        <x:f>AG159</x:f>
      </x:c>
      <x:c r="AR159" t="n">
        <x:f>C159</x:f>
        <x:v>0</x:v>
      </x:c>
      <x:c r="AS159" t="n">
        <x:f>E159</x:f>
        <x:v>0</x:v>
      </x:c>
    </x:row>
    <x:row r="160">
      <x:c r="A160" s="60" t="str">
        <x:f>IF(C160="","",COUNTIF($C$10:C160,"&lt;&gt;"))</x:f>
      </x:c>
      <x:c r="B160" s="122" t="n"/>
      <x:c r="C160" s="87" t="n"/>
      <x:c r="D160" s="87" t="n"/>
      <x:c r="E160" s="87" t="n"/>
      <x:c r="F160" s="87" t="n"/>
      <x:c r="G160" s="87" t="n"/>
      <x:c r="H160" s="87" t="n"/>
      <x:c r="I160" s="87" t="n"/>
      <x:c r="J160" s="87" t="n"/>
      <x:c r="K160" s="87" t="n"/>
      <x:c r="L160" s="87" t="n"/>
      <x:c r="M160" s="87" t="n"/>
      <x:c r="N160" s="87" t="n"/>
      <x:c r="O160" s="62" t="str">
        <x:f>IF(G160="","",IF(G160="Single",AH160,IF(G160="Double",AI160,AJ160)))</x:f>
      </x:c>
      <x:c r="P160" s="62" t="str">
        <x:f>IF(OR(G160="",H160="Ikke spillet"),"",IF(G160="Single",O160,IF(J160="","",(O160+J160)/2)))</x:f>
      </x:c>
      <x:c r="Q160" s="62" t="str">
        <x:f>IF(OR(G160="",H160="Ikke spillet"),"",IF(G160="Single",L160,IF(OR(L160="",N160=""),"",(L160+N160)/2)))</x:f>
      </x:c>
      <x:c r="R160" s="62" t="str">
        <x:f>IF(OR(P160="",Q160=""),"",Q160-P160)</x:f>
      </x:c>
      <x:c r="S160" s="62" t="str">
        <x:f>IF(H160="Ikke spillet","",IF(R160="","",IF(ABS(R160)&lt;0.000001,"Lige (0)",VLOOKUP(ABS(R160),'BD Pointtabel'!$A$4:$G$15,2,TRUE))))</x:f>
      </x:c>
      <x:c r="T160" s="62" t="str">
        <x:f>IF(H160="Ikke spillet","Ikke spillet",IF(H160="Planlagt","Planlagt",IF(OR(H160="",P160="",Q160=""),"",IF(H160="Vundet",IF(R160&gt;0,"Uventet sejr","Ventet sejr"),IF(R160&gt;=0,"Ventet nederlag","Uventet nederlag")))))</x:f>
      </x:c>
      <x:c r="U160" s="62" t="str">
        <x:f>IF(OR(H160="Ikke spillet",H160="Planlagt"),"",IF(OR(G160="",H160="",P160="",Q160=""),"",IF(AND(F160="Ungdomsholdturnering",OR(G160="Double",G160="Mix"),H160="Tabt"),0,IF(H160="Vundet",IF(R160&gt;0,VLOOKUP(ABS(R160),'BD Pointtabel'!$A$4:$G$15,4,TRUE),VLOOKUP(ABS(R160),'BD Pointtabel'!$A$4:$G$15,7,TRUE)),IF(R160&gt;=0,VLOOKUP(ABS(R160),'BD Pointtabel'!$A$4:$G$15,6,TRUE),VLOOKUP(ABS(R160),'BD Pointtabel'!$A$4:$G$15,3,TRUE))))))</x:f>
      </x:c>
      <x:c r="V160" s="62" t="str">
        <x:f>IF(G160="","",SUMIFS($U$10:U160,$AG$10:AG160,AG160,$G$10:G160,G160))</x:f>
      </x:c>
      <x:c r="W160" s="62" t="str">
        <x:f>IF(C160="","",IF(AN160&lt;&gt;1,"",IF(G160="Single",AA160,IF(G160="Double",AC160,AE160))))</x:f>
      </x:c>
      <x:c r="X160" s="62" t="str">
        <x:f>IF(C160="","",IF(AN160&lt;&gt;1,"",ROUND(((AA160*AB160+AC160*AD160+AE160*AF160)/(AB160+AD160+AF160))+IF((MAX(AA160,AC160,AE160)-(AA160+AC160+AE160-MAX(AA160,AC160,AE160)-MIN(AA160,AC160,AE160)))&lt;'Model &amp; indstillinger'!$E$16,'Model &amp; indstillinger'!$E$18,'Model &amp; indstillinger'!$E$20)*(MAX(AA160,AC160,AE160)-((AA160*AB160+AC160*AD160+AE160*AF160)/(AB160+AD160+AF160))),0)))</x:f>
      </x:c>
      <x:c r="Y160" s="62" t="str">
        <x:f>IF(X160="","",'Model &amp; indstillinger'!$B$4-X160)</x:f>
      </x:c>
      <x:c r="Z160" s="62" t="str">
        <x:f>IF(C160="","",IF(H160="Planlagt","Planlagt – ingen point endnu",IF(H160="Ikke spillet","Ikke spillet – tæller ikke som kamp og giver ingen point",IF(AN160=1,"STÆVNE SLUT – samlet point tilskrives","Frosset pointgrundlag – ingen tilskrivning endnu"))))</x:f>
      </x:c>
      <x:c r="AA160" s="60" t="str">
        <x:f>IF(C160="","",'Model &amp; indstillinger'!$B$6+SUMIFS($U$10:U160,$G$10:G160,"Single"))</x:f>
      </x:c>
      <x:c r="AB160" s="60" t="str">
        <x:f>IF(C160="","",'Model &amp; indstillinger'!$B$7+COUNTIFS($G$10:G160,"Single",$AK$10:AK160,1))</x:f>
      </x:c>
      <x:c r="AC160" s="60" t="str">
        <x:f>IF(C160="","",'Model &amp; indstillinger'!$B$8+SUMIFS($U$10:U160,$G$10:G160,"Double"))</x:f>
      </x:c>
      <x:c r="AD160" s="60" t="str">
        <x:f>IF(C160="","",'Model &amp; indstillinger'!$B$9+COUNTIFS($G$10:G160,"Double",$AK$10:AK160,1))</x:f>
      </x:c>
      <x:c r="AE160" s="60" t="str">
        <x:f>IF(C160="","",'Model &amp; indstillinger'!$B$10+SUMIFS($U$10:U160,$G$10:G160,"Mix"))</x:f>
      </x:c>
      <x:c r="AF160" s="60" t="str">
        <x:f>IF(C160="","",'Model &amp; indstillinger'!$B$11+COUNTIFS($G$10:G160,"Mix",$AK$10:AK160,1))</x:f>
      </x:c>
      <x:c r="AG160" s="60" t="str">
        <x:f>IF(C160="","",IF(C160=C159,AG159,AG159+1))</x:f>
      </x:c>
      <x:c r="AH160" s="60" t="str">
        <x:f>IF(C160="","",IF(AG160=AG159,AH159,AA159))</x:f>
      </x:c>
      <x:c r="AI160" s="60" t="str">
        <x:f>IF(C160="","",IF(AG160=AG159,AI159,AC159))</x:f>
      </x:c>
      <x:c r="AJ160" s="60" t="str">
        <x:f>IF(C160="","",IF(AG160=AG159,AJ159,AE159))</x:f>
      </x:c>
      <x:c r="AK160" s="60" t="n">
        <x:f>IF(OR(H160="Vundet",H160="Tabt"),1,0)</x:f>
        <x:v>0</x:v>
      </x:c>
      <x:c r="AL160" s="60" t="n"/>
      <x:c r="AM160" s="60" t="n">
        <x:f>MAX($AG$10:$AG$209)</x:f>
        <x:v>4</x:v>
      </x:c>
      <x:c r="AN160" s="60" t="str">
        <x:f>IF(C160="","",IF(AND(C161&lt;&gt;"",C161&lt;&gt;C160),1,0))</x:f>
      </x:c>
      <x:c r="AO160" s="60" t="n"/>
      <x:c r="AP160" s="60" t="n">
        <x:f>MAX($AG$10:$AG$209)</x:f>
        <x:v>4</x:v>
      </x:c>
      <x:c r="AQ160" t="str">
        <x:f>AG160</x:f>
      </x:c>
      <x:c r="AR160" t="n">
        <x:f>C160</x:f>
        <x:v>0</x:v>
      </x:c>
      <x:c r="AS160" t="n">
        <x:f>E160</x:f>
        <x:v>0</x:v>
      </x:c>
    </x:row>
    <x:row r="161">
      <x:c r="A161" s="60" t="str">
        <x:f>IF(C161="","",COUNTIF($C$10:C161,"&lt;&gt;"))</x:f>
      </x:c>
      <x:c r="B161" s="122" t="n"/>
      <x:c r="C161" s="87" t="n"/>
      <x:c r="D161" s="87" t="n"/>
      <x:c r="E161" s="87" t="n"/>
      <x:c r="F161" s="87" t="n"/>
      <x:c r="G161" s="87" t="n"/>
      <x:c r="H161" s="87" t="n"/>
      <x:c r="I161" s="87" t="n"/>
      <x:c r="J161" s="87" t="n"/>
      <x:c r="K161" s="87" t="n"/>
      <x:c r="L161" s="87" t="n"/>
      <x:c r="M161" s="87" t="n"/>
      <x:c r="N161" s="87" t="n"/>
      <x:c r="O161" s="62" t="str">
        <x:f>IF(G161="","",IF(G161="Single",AH161,IF(G161="Double",AI161,AJ161)))</x:f>
      </x:c>
      <x:c r="P161" s="62" t="str">
        <x:f>IF(OR(G161="",H161="Ikke spillet"),"",IF(G161="Single",O161,IF(J161="","",(O161+J161)/2)))</x:f>
      </x:c>
      <x:c r="Q161" s="62" t="str">
        <x:f>IF(OR(G161="",H161="Ikke spillet"),"",IF(G161="Single",L161,IF(OR(L161="",N161=""),"",(L161+N161)/2)))</x:f>
      </x:c>
      <x:c r="R161" s="62" t="str">
        <x:f>IF(OR(P161="",Q161=""),"",Q161-P161)</x:f>
      </x:c>
      <x:c r="S161" s="62" t="str">
        <x:f>IF(H161="Ikke spillet","",IF(R161="","",IF(ABS(R161)&lt;0.000001,"Lige (0)",VLOOKUP(ABS(R161),'BD Pointtabel'!$A$4:$G$15,2,TRUE))))</x:f>
      </x:c>
      <x:c r="T161" s="62" t="str">
        <x:f>IF(H161="Ikke spillet","Ikke spillet",IF(H161="Planlagt","Planlagt",IF(OR(H161="",P161="",Q161=""),"",IF(H161="Vundet",IF(R161&gt;0,"Uventet sejr","Ventet sejr"),IF(R161&gt;=0,"Ventet nederlag","Uventet nederlag")))))</x:f>
      </x:c>
      <x:c r="U161" s="62" t="str">
        <x:f>IF(OR(H161="Ikke spillet",H161="Planlagt"),"",IF(OR(G161="",H161="",P161="",Q161=""),"",IF(AND(F161="Ungdomsholdturnering",OR(G161="Double",G161="Mix"),H161="Tabt"),0,IF(H161="Vundet",IF(R161&gt;0,VLOOKUP(ABS(R161),'BD Pointtabel'!$A$4:$G$15,4,TRUE),VLOOKUP(ABS(R161),'BD Pointtabel'!$A$4:$G$15,7,TRUE)),IF(R161&gt;=0,VLOOKUP(ABS(R161),'BD Pointtabel'!$A$4:$G$15,6,TRUE),VLOOKUP(ABS(R161),'BD Pointtabel'!$A$4:$G$15,3,TRUE))))))</x:f>
      </x:c>
      <x:c r="V161" s="62" t="str">
        <x:f>IF(G161="","",SUMIFS($U$10:U161,$AG$10:AG161,AG161,$G$10:G161,G161))</x:f>
      </x:c>
      <x:c r="W161" s="62" t="str">
        <x:f>IF(C161="","",IF(AN161&lt;&gt;1,"",IF(G161="Single",AA161,IF(G161="Double",AC161,AE161))))</x:f>
      </x:c>
      <x:c r="X161" s="62" t="str">
        <x:f>IF(C161="","",IF(AN161&lt;&gt;1,"",ROUND(((AA161*AB161+AC161*AD161+AE161*AF161)/(AB161+AD161+AF161))+IF((MAX(AA161,AC161,AE161)-(AA161+AC161+AE161-MAX(AA161,AC161,AE161)-MIN(AA161,AC161,AE161)))&lt;'Model &amp; indstillinger'!$E$16,'Model &amp; indstillinger'!$E$18,'Model &amp; indstillinger'!$E$20)*(MAX(AA161,AC161,AE161)-((AA161*AB161+AC161*AD161+AE161*AF161)/(AB161+AD161+AF161))),0)))</x:f>
      </x:c>
      <x:c r="Y161" s="62" t="str">
        <x:f>IF(X161="","",'Model &amp; indstillinger'!$B$4-X161)</x:f>
      </x:c>
      <x:c r="Z161" s="62" t="str">
        <x:f>IF(C161="","",IF(H161="Planlagt","Planlagt – ingen point endnu",IF(H161="Ikke spillet","Ikke spillet – tæller ikke som kamp og giver ingen point",IF(AN161=1,"STÆVNE SLUT – samlet point tilskrives","Frosset pointgrundlag – ingen tilskrivning endnu"))))</x:f>
      </x:c>
      <x:c r="AA161" s="60" t="str">
        <x:f>IF(C161="","",'Model &amp; indstillinger'!$B$6+SUMIFS($U$10:U161,$G$10:G161,"Single"))</x:f>
      </x:c>
      <x:c r="AB161" s="60" t="str">
        <x:f>IF(C161="","",'Model &amp; indstillinger'!$B$7+COUNTIFS($G$10:G161,"Single",$AK$10:AK161,1))</x:f>
      </x:c>
      <x:c r="AC161" s="60" t="str">
        <x:f>IF(C161="","",'Model &amp; indstillinger'!$B$8+SUMIFS($U$10:U161,$G$10:G161,"Double"))</x:f>
      </x:c>
      <x:c r="AD161" s="60" t="str">
        <x:f>IF(C161="","",'Model &amp; indstillinger'!$B$9+COUNTIFS($G$10:G161,"Double",$AK$10:AK161,1))</x:f>
      </x:c>
      <x:c r="AE161" s="60" t="str">
        <x:f>IF(C161="","",'Model &amp; indstillinger'!$B$10+SUMIFS($U$10:U161,$G$10:G161,"Mix"))</x:f>
      </x:c>
      <x:c r="AF161" s="60" t="str">
        <x:f>IF(C161="","",'Model &amp; indstillinger'!$B$11+COUNTIFS($G$10:G161,"Mix",$AK$10:AK161,1))</x:f>
      </x:c>
      <x:c r="AG161" s="60" t="str">
        <x:f>IF(C161="","",IF(C161=C160,AG160,AG160+1))</x:f>
      </x:c>
      <x:c r="AH161" s="60" t="str">
        <x:f>IF(C161="","",IF(AG161=AG160,AH160,AA160))</x:f>
      </x:c>
      <x:c r="AI161" s="60" t="str">
        <x:f>IF(C161="","",IF(AG161=AG160,AI160,AC160))</x:f>
      </x:c>
      <x:c r="AJ161" s="60" t="str">
        <x:f>IF(C161="","",IF(AG161=AG160,AJ160,AE160))</x:f>
      </x:c>
      <x:c r="AK161" s="60" t="n">
        <x:f>IF(OR(H161="Vundet",H161="Tabt"),1,0)</x:f>
        <x:v>0</x:v>
      </x:c>
      <x:c r="AL161" s="60" t="n"/>
      <x:c r="AM161" s="60" t="n">
        <x:f>MAX($AG$10:$AG$209)</x:f>
        <x:v>4</x:v>
      </x:c>
      <x:c r="AN161" s="60" t="str">
        <x:f>IF(C161="","",IF(AND(C162&lt;&gt;"",C162&lt;&gt;C161),1,0))</x:f>
      </x:c>
      <x:c r="AO161" s="60" t="n"/>
      <x:c r="AP161" s="60" t="n">
        <x:f>MAX($AG$10:$AG$209)</x:f>
        <x:v>4</x:v>
      </x:c>
      <x:c r="AQ161" t="str">
        <x:f>AG161</x:f>
      </x:c>
      <x:c r="AR161" t="n">
        <x:f>C161</x:f>
        <x:v>0</x:v>
      </x:c>
      <x:c r="AS161" t="n">
        <x:f>E161</x:f>
        <x:v>0</x:v>
      </x:c>
    </x:row>
    <x:row r="162">
      <x:c r="A162" s="60" t="str">
        <x:f>IF(C162="","",COUNTIF($C$10:C162,"&lt;&gt;"))</x:f>
      </x:c>
      <x:c r="B162" s="122" t="n"/>
      <x:c r="C162" s="87" t="n"/>
      <x:c r="D162" s="87" t="n"/>
      <x:c r="E162" s="87" t="n"/>
      <x:c r="F162" s="87" t="n"/>
      <x:c r="G162" s="87" t="n"/>
      <x:c r="H162" s="87" t="n"/>
      <x:c r="I162" s="87" t="n"/>
      <x:c r="J162" s="87" t="n"/>
      <x:c r="K162" s="87" t="n"/>
      <x:c r="L162" s="87" t="n"/>
      <x:c r="M162" s="87" t="n"/>
      <x:c r="N162" s="87" t="n"/>
      <x:c r="O162" s="62" t="str">
        <x:f>IF(G162="","",IF(G162="Single",AH162,IF(G162="Double",AI162,AJ162)))</x:f>
      </x:c>
      <x:c r="P162" s="62" t="str">
        <x:f>IF(OR(G162="",H162="Ikke spillet"),"",IF(G162="Single",O162,IF(J162="","",(O162+J162)/2)))</x:f>
      </x:c>
      <x:c r="Q162" s="62" t="str">
        <x:f>IF(OR(G162="",H162="Ikke spillet"),"",IF(G162="Single",L162,IF(OR(L162="",N162=""),"",(L162+N162)/2)))</x:f>
      </x:c>
      <x:c r="R162" s="62" t="str">
        <x:f>IF(OR(P162="",Q162=""),"",Q162-P162)</x:f>
      </x:c>
      <x:c r="S162" s="62" t="str">
        <x:f>IF(H162="Ikke spillet","",IF(R162="","",IF(ABS(R162)&lt;0.000001,"Lige (0)",VLOOKUP(ABS(R162),'BD Pointtabel'!$A$4:$G$15,2,TRUE))))</x:f>
      </x:c>
      <x:c r="T162" s="62" t="str">
        <x:f>IF(H162="Ikke spillet","Ikke spillet",IF(H162="Planlagt","Planlagt",IF(OR(H162="",P162="",Q162=""),"",IF(H162="Vundet",IF(R162&gt;0,"Uventet sejr","Ventet sejr"),IF(R162&gt;=0,"Ventet nederlag","Uventet nederlag")))))</x:f>
      </x:c>
      <x:c r="U162" s="62" t="str">
        <x:f>IF(OR(H162="Ikke spillet",H162="Planlagt"),"",IF(OR(G162="",H162="",P162="",Q162=""),"",IF(AND(F162="Ungdomsholdturnering",OR(G162="Double",G162="Mix"),H162="Tabt"),0,IF(H162="Vundet",IF(R162&gt;0,VLOOKUP(ABS(R162),'BD Pointtabel'!$A$4:$G$15,4,TRUE),VLOOKUP(ABS(R162),'BD Pointtabel'!$A$4:$G$15,7,TRUE)),IF(R162&gt;=0,VLOOKUP(ABS(R162),'BD Pointtabel'!$A$4:$G$15,6,TRUE),VLOOKUP(ABS(R162),'BD Pointtabel'!$A$4:$G$15,3,TRUE))))))</x:f>
      </x:c>
      <x:c r="V162" s="62" t="str">
        <x:f>IF(G162="","",SUMIFS($U$10:U162,$AG$10:AG162,AG162,$G$10:G162,G162))</x:f>
      </x:c>
      <x:c r="W162" s="62" t="str">
        <x:f>IF(C162="","",IF(AN162&lt;&gt;1,"",IF(G162="Single",AA162,IF(G162="Double",AC162,AE162))))</x:f>
      </x:c>
      <x:c r="X162" s="62" t="str">
        <x:f>IF(C162="","",IF(AN162&lt;&gt;1,"",ROUND(((AA162*AB162+AC162*AD162+AE162*AF162)/(AB162+AD162+AF162))+IF((MAX(AA162,AC162,AE162)-(AA162+AC162+AE162-MAX(AA162,AC162,AE162)-MIN(AA162,AC162,AE162)))&lt;'Model &amp; indstillinger'!$E$16,'Model &amp; indstillinger'!$E$18,'Model &amp; indstillinger'!$E$20)*(MAX(AA162,AC162,AE162)-((AA162*AB162+AC162*AD162+AE162*AF162)/(AB162+AD162+AF162))),0)))</x:f>
      </x:c>
      <x:c r="Y162" s="62" t="str">
        <x:f>IF(X162="","",'Model &amp; indstillinger'!$B$4-X162)</x:f>
      </x:c>
      <x:c r="Z162" s="62" t="str">
        <x:f>IF(C162="","",IF(H162="Planlagt","Planlagt – ingen point endnu",IF(H162="Ikke spillet","Ikke spillet – tæller ikke som kamp og giver ingen point",IF(AN162=1,"STÆVNE SLUT – samlet point tilskrives","Frosset pointgrundlag – ingen tilskrivning endnu"))))</x:f>
      </x:c>
      <x:c r="AA162" s="60" t="str">
        <x:f>IF(C162="","",'Model &amp; indstillinger'!$B$6+SUMIFS($U$10:U162,$G$10:G162,"Single"))</x:f>
      </x:c>
      <x:c r="AB162" s="60" t="str">
        <x:f>IF(C162="","",'Model &amp; indstillinger'!$B$7+COUNTIFS($G$10:G162,"Single",$AK$10:AK162,1))</x:f>
      </x:c>
      <x:c r="AC162" s="60" t="str">
        <x:f>IF(C162="","",'Model &amp; indstillinger'!$B$8+SUMIFS($U$10:U162,$G$10:G162,"Double"))</x:f>
      </x:c>
      <x:c r="AD162" s="60" t="str">
        <x:f>IF(C162="","",'Model &amp; indstillinger'!$B$9+COUNTIFS($G$10:G162,"Double",$AK$10:AK162,1))</x:f>
      </x:c>
      <x:c r="AE162" s="60" t="str">
        <x:f>IF(C162="","",'Model &amp; indstillinger'!$B$10+SUMIFS($U$10:U162,$G$10:G162,"Mix"))</x:f>
      </x:c>
      <x:c r="AF162" s="60" t="str">
        <x:f>IF(C162="","",'Model &amp; indstillinger'!$B$11+COUNTIFS($G$10:G162,"Mix",$AK$10:AK162,1))</x:f>
      </x:c>
      <x:c r="AG162" s="60" t="str">
        <x:f>IF(C162="","",IF(C162=C161,AG161,AG161+1))</x:f>
      </x:c>
      <x:c r="AH162" s="60" t="str">
        <x:f>IF(C162="","",IF(AG162=AG161,AH161,AA161))</x:f>
      </x:c>
      <x:c r="AI162" s="60" t="str">
        <x:f>IF(C162="","",IF(AG162=AG161,AI161,AC161))</x:f>
      </x:c>
      <x:c r="AJ162" s="60" t="str">
        <x:f>IF(C162="","",IF(AG162=AG161,AJ161,AE161))</x:f>
      </x:c>
      <x:c r="AK162" s="60" t="n">
        <x:f>IF(OR(H162="Vundet",H162="Tabt"),1,0)</x:f>
        <x:v>0</x:v>
      </x:c>
      <x:c r="AL162" s="60" t="n"/>
      <x:c r="AM162" s="60" t="n">
        <x:f>MAX($AG$10:$AG$209)</x:f>
        <x:v>4</x:v>
      </x:c>
      <x:c r="AN162" s="60" t="str">
        <x:f>IF(C162="","",IF(AND(C163&lt;&gt;"",C163&lt;&gt;C162),1,0))</x:f>
      </x:c>
      <x:c r="AO162" s="60" t="n"/>
      <x:c r="AP162" s="60" t="n">
        <x:f>MAX($AG$10:$AG$209)</x:f>
        <x:v>4</x:v>
      </x:c>
      <x:c r="AQ162" t="str">
        <x:f>AG162</x:f>
      </x:c>
      <x:c r="AR162" t="n">
        <x:f>C162</x:f>
        <x:v>0</x:v>
      </x:c>
      <x:c r="AS162" t="n">
        <x:f>E162</x:f>
        <x:v>0</x:v>
      </x:c>
    </x:row>
    <x:row r="163">
      <x:c r="A163" s="60" t="str">
        <x:f>IF(C163="","",COUNTIF($C$10:C163,"&lt;&gt;"))</x:f>
      </x:c>
      <x:c r="B163" s="122" t="n"/>
      <x:c r="C163" s="87" t="n"/>
      <x:c r="D163" s="87" t="n"/>
      <x:c r="E163" s="87" t="n"/>
      <x:c r="F163" s="87" t="n"/>
      <x:c r="G163" s="87" t="n"/>
      <x:c r="H163" s="87" t="n"/>
      <x:c r="I163" s="87" t="n"/>
      <x:c r="J163" s="87" t="n"/>
      <x:c r="K163" s="87" t="n"/>
      <x:c r="L163" s="87" t="n"/>
      <x:c r="M163" s="87" t="n"/>
      <x:c r="N163" s="87" t="n"/>
      <x:c r="O163" s="62" t="str">
        <x:f>IF(G163="","",IF(G163="Single",AH163,IF(G163="Double",AI163,AJ163)))</x:f>
      </x:c>
      <x:c r="P163" s="62" t="str">
        <x:f>IF(OR(G163="",H163="Ikke spillet"),"",IF(G163="Single",O163,IF(J163="","",(O163+J163)/2)))</x:f>
      </x:c>
      <x:c r="Q163" s="62" t="str">
        <x:f>IF(OR(G163="",H163="Ikke spillet"),"",IF(G163="Single",L163,IF(OR(L163="",N163=""),"",(L163+N163)/2)))</x:f>
      </x:c>
      <x:c r="R163" s="62" t="str">
        <x:f>IF(OR(P163="",Q163=""),"",Q163-P163)</x:f>
      </x:c>
      <x:c r="S163" s="62" t="str">
        <x:f>IF(H163="Ikke spillet","",IF(R163="","",IF(ABS(R163)&lt;0.000001,"Lige (0)",VLOOKUP(ABS(R163),'BD Pointtabel'!$A$4:$G$15,2,TRUE))))</x:f>
      </x:c>
      <x:c r="T163" s="62" t="str">
        <x:f>IF(H163="Ikke spillet","Ikke spillet",IF(H163="Planlagt","Planlagt",IF(OR(H163="",P163="",Q163=""),"",IF(H163="Vundet",IF(R163&gt;0,"Uventet sejr","Ventet sejr"),IF(R163&gt;=0,"Ventet nederlag","Uventet nederlag")))))</x:f>
      </x:c>
      <x:c r="U163" s="62" t="str">
        <x:f>IF(OR(H163="Ikke spillet",H163="Planlagt"),"",IF(OR(G163="",H163="",P163="",Q163=""),"",IF(AND(F163="Ungdomsholdturnering",OR(G163="Double",G163="Mix"),H163="Tabt"),0,IF(H163="Vundet",IF(R163&gt;0,VLOOKUP(ABS(R163),'BD Pointtabel'!$A$4:$G$15,4,TRUE),VLOOKUP(ABS(R163),'BD Pointtabel'!$A$4:$G$15,7,TRUE)),IF(R163&gt;=0,VLOOKUP(ABS(R163),'BD Pointtabel'!$A$4:$G$15,6,TRUE),VLOOKUP(ABS(R163),'BD Pointtabel'!$A$4:$G$15,3,TRUE))))))</x:f>
      </x:c>
      <x:c r="V163" s="62" t="str">
        <x:f>IF(G163="","",SUMIFS($U$10:U163,$AG$10:AG163,AG163,$G$10:G163,G163))</x:f>
      </x:c>
      <x:c r="W163" s="62" t="str">
        <x:f>IF(C163="","",IF(AN163&lt;&gt;1,"",IF(G163="Single",AA163,IF(G163="Double",AC163,AE163))))</x:f>
      </x:c>
      <x:c r="X163" s="62" t="str">
        <x:f>IF(C163="","",IF(AN163&lt;&gt;1,"",ROUND(((AA163*AB163+AC163*AD163+AE163*AF163)/(AB163+AD163+AF163))+IF((MAX(AA163,AC163,AE163)-(AA163+AC163+AE163-MAX(AA163,AC163,AE163)-MIN(AA163,AC163,AE163)))&lt;'Model &amp; indstillinger'!$E$16,'Model &amp; indstillinger'!$E$18,'Model &amp; indstillinger'!$E$20)*(MAX(AA163,AC163,AE163)-((AA163*AB163+AC163*AD163+AE163*AF163)/(AB163+AD163+AF163))),0)))</x:f>
      </x:c>
      <x:c r="Y163" s="62" t="str">
        <x:f>IF(X163="","",'Model &amp; indstillinger'!$B$4-X163)</x:f>
      </x:c>
      <x:c r="Z163" s="62" t="str">
        <x:f>IF(C163="","",IF(H163="Planlagt","Planlagt – ingen point endnu",IF(H163="Ikke spillet","Ikke spillet – tæller ikke som kamp og giver ingen point",IF(AN163=1,"STÆVNE SLUT – samlet point tilskrives","Frosset pointgrundlag – ingen tilskrivning endnu"))))</x:f>
      </x:c>
      <x:c r="AA163" s="60" t="str">
        <x:f>IF(C163="","",'Model &amp; indstillinger'!$B$6+SUMIFS($U$10:U163,$G$10:G163,"Single"))</x:f>
      </x:c>
      <x:c r="AB163" s="60" t="str">
        <x:f>IF(C163="","",'Model &amp; indstillinger'!$B$7+COUNTIFS($G$10:G163,"Single",$AK$10:AK163,1))</x:f>
      </x:c>
      <x:c r="AC163" s="60" t="str">
        <x:f>IF(C163="","",'Model &amp; indstillinger'!$B$8+SUMIFS($U$10:U163,$G$10:G163,"Double"))</x:f>
      </x:c>
      <x:c r="AD163" s="60" t="str">
        <x:f>IF(C163="","",'Model &amp; indstillinger'!$B$9+COUNTIFS($G$10:G163,"Double",$AK$10:AK163,1))</x:f>
      </x:c>
      <x:c r="AE163" s="60" t="str">
        <x:f>IF(C163="","",'Model &amp; indstillinger'!$B$10+SUMIFS($U$10:U163,$G$10:G163,"Mix"))</x:f>
      </x:c>
      <x:c r="AF163" s="60" t="str">
        <x:f>IF(C163="","",'Model &amp; indstillinger'!$B$11+COUNTIFS($G$10:G163,"Mix",$AK$10:AK163,1))</x:f>
      </x:c>
      <x:c r="AG163" s="60" t="str">
        <x:f>IF(C163="","",IF(C163=C162,AG162,AG162+1))</x:f>
      </x:c>
      <x:c r="AH163" s="60" t="str">
        <x:f>IF(C163="","",IF(AG163=AG162,AH162,AA162))</x:f>
      </x:c>
      <x:c r="AI163" s="60" t="str">
        <x:f>IF(C163="","",IF(AG163=AG162,AI162,AC162))</x:f>
      </x:c>
      <x:c r="AJ163" s="60" t="str">
        <x:f>IF(C163="","",IF(AG163=AG162,AJ162,AE162))</x:f>
      </x:c>
      <x:c r="AK163" s="60" t="n">
        <x:f>IF(OR(H163="Vundet",H163="Tabt"),1,0)</x:f>
        <x:v>0</x:v>
      </x:c>
      <x:c r="AL163" s="60" t="n"/>
      <x:c r="AM163" s="60" t="n">
        <x:f>MAX($AG$10:$AG$209)</x:f>
        <x:v>4</x:v>
      </x:c>
      <x:c r="AN163" s="60" t="str">
        <x:f>IF(C163="","",IF(AND(C164&lt;&gt;"",C164&lt;&gt;C163),1,0))</x:f>
      </x:c>
      <x:c r="AO163" s="60" t="n"/>
      <x:c r="AP163" s="60" t="n">
        <x:f>MAX($AG$10:$AG$209)</x:f>
        <x:v>4</x:v>
      </x:c>
      <x:c r="AQ163" t="str">
        <x:f>AG163</x:f>
      </x:c>
      <x:c r="AR163" t="n">
        <x:f>C163</x:f>
        <x:v>0</x:v>
      </x:c>
      <x:c r="AS163" t="n">
        <x:f>E163</x:f>
        <x:v>0</x:v>
      </x:c>
    </x:row>
    <x:row r="164">
      <x:c r="A164" s="60" t="str">
        <x:f>IF(C164="","",COUNTIF($C$10:C164,"&lt;&gt;"))</x:f>
      </x:c>
      <x:c r="B164" s="122" t="n"/>
      <x:c r="C164" s="87" t="n"/>
      <x:c r="D164" s="87" t="n"/>
      <x:c r="E164" s="87" t="n"/>
      <x:c r="F164" s="87" t="n"/>
      <x:c r="G164" s="87" t="n"/>
      <x:c r="H164" s="87" t="n"/>
      <x:c r="I164" s="87" t="n"/>
      <x:c r="J164" s="87" t="n"/>
      <x:c r="K164" s="87" t="n"/>
      <x:c r="L164" s="87" t="n"/>
      <x:c r="M164" s="87" t="n"/>
      <x:c r="N164" s="87" t="n"/>
      <x:c r="O164" s="62" t="str">
        <x:f>IF(G164="","",IF(G164="Single",AH164,IF(G164="Double",AI164,AJ164)))</x:f>
      </x:c>
      <x:c r="P164" s="62" t="str">
        <x:f>IF(OR(G164="",H164="Ikke spillet"),"",IF(G164="Single",O164,IF(J164="","",(O164+J164)/2)))</x:f>
      </x:c>
      <x:c r="Q164" s="62" t="str">
        <x:f>IF(OR(G164="",H164="Ikke spillet"),"",IF(G164="Single",L164,IF(OR(L164="",N164=""),"",(L164+N164)/2)))</x:f>
      </x:c>
      <x:c r="R164" s="62" t="str">
        <x:f>IF(OR(P164="",Q164=""),"",Q164-P164)</x:f>
      </x:c>
      <x:c r="S164" s="62" t="str">
        <x:f>IF(H164="Ikke spillet","",IF(R164="","",IF(ABS(R164)&lt;0.000001,"Lige (0)",VLOOKUP(ABS(R164),'BD Pointtabel'!$A$4:$G$15,2,TRUE))))</x:f>
      </x:c>
      <x:c r="T164" s="62" t="str">
        <x:f>IF(H164="Ikke spillet","Ikke spillet",IF(H164="Planlagt","Planlagt",IF(OR(H164="",P164="",Q164=""),"",IF(H164="Vundet",IF(R164&gt;0,"Uventet sejr","Ventet sejr"),IF(R164&gt;=0,"Ventet nederlag","Uventet nederlag")))))</x:f>
      </x:c>
      <x:c r="U164" s="62" t="str">
        <x:f>IF(OR(H164="Ikke spillet",H164="Planlagt"),"",IF(OR(G164="",H164="",P164="",Q164=""),"",IF(AND(F164="Ungdomsholdturnering",OR(G164="Double",G164="Mix"),H164="Tabt"),0,IF(H164="Vundet",IF(R164&gt;0,VLOOKUP(ABS(R164),'BD Pointtabel'!$A$4:$G$15,4,TRUE),VLOOKUP(ABS(R164),'BD Pointtabel'!$A$4:$G$15,7,TRUE)),IF(R164&gt;=0,VLOOKUP(ABS(R164),'BD Pointtabel'!$A$4:$G$15,6,TRUE),VLOOKUP(ABS(R164),'BD Pointtabel'!$A$4:$G$15,3,TRUE))))))</x:f>
      </x:c>
      <x:c r="V164" s="62" t="str">
        <x:f>IF(G164="","",SUMIFS($U$10:U164,$AG$10:AG164,AG164,$G$10:G164,G164))</x:f>
      </x:c>
      <x:c r="W164" s="62" t="str">
        <x:f>IF(C164="","",IF(AN164&lt;&gt;1,"",IF(G164="Single",AA164,IF(G164="Double",AC164,AE164))))</x:f>
      </x:c>
      <x:c r="X164" s="62" t="str">
        <x:f>IF(C164="","",IF(AN164&lt;&gt;1,"",ROUND(((AA164*AB164+AC164*AD164+AE164*AF164)/(AB164+AD164+AF164))+IF((MAX(AA164,AC164,AE164)-(AA164+AC164+AE164-MAX(AA164,AC164,AE164)-MIN(AA164,AC164,AE164)))&lt;'Model &amp; indstillinger'!$E$16,'Model &amp; indstillinger'!$E$18,'Model &amp; indstillinger'!$E$20)*(MAX(AA164,AC164,AE164)-((AA164*AB164+AC164*AD164+AE164*AF164)/(AB164+AD164+AF164))),0)))</x:f>
      </x:c>
      <x:c r="Y164" s="62" t="str">
        <x:f>IF(X164="","",'Model &amp; indstillinger'!$B$4-X164)</x:f>
      </x:c>
      <x:c r="Z164" s="62" t="str">
        <x:f>IF(C164="","",IF(H164="Planlagt","Planlagt – ingen point endnu",IF(H164="Ikke spillet","Ikke spillet – tæller ikke som kamp og giver ingen point",IF(AN164=1,"STÆVNE SLUT – samlet point tilskrives","Frosset pointgrundlag – ingen tilskrivning endnu"))))</x:f>
      </x:c>
      <x:c r="AA164" s="60" t="str">
        <x:f>IF(C164="","",'Model &amp; indstillinger'!$B$6+SUMIFS($U$10:U164,$G$10:G164,"Single"))</x:f>
      </x:c>
      <x:c r="AB164" s="60" t="str">
        <x:f>IF(C164="","",'Model &amp; indstillinger'!$B$7+COUNTIFS($G$10:G164,"Single",$AK$10:AK164,1))</x:f>
      </x:c>
      <x:c r="AC164" s="60" t="str">
        <x:f>IF(C164="","",'Model &amp; indstillinger'!$B$8+SUMIFS($U$10:U164,$G$10:G164,"Double"))</x:f>
      </x:c>
      <x:c r="AD164" s="60" t="str">
        <x:f>IF(C164="","",'Model &amp; indstillinger'!$B$9+COUNTIFS($G$10:G164,"Double",$AK$10:AK164,1))</x:f>
      </x:c>
      <x:c r="AE164" s="60" t="str">
        <x:f>IF(C164="","",'Model &amp; indstillinger'!$B$10+SUMIFS($U$10:U164,$G$10:G164,"Mix"))</x:f>
      </x:c>
      <x:c r="AF164" s="60" t="str">
        <x:f>IF(C164="","",'Model &amp; indstillinger'!$B$11+COUNTIFS($G$10:G164,"Mix",$AK$10:AK164,1))</x:f>
      </x:c>
      <x:c r="AG164" s="60" t="str">
        <x:f>IF(C164="","",IF(C164=C163,AG163,AG163+1))</x:f>
      </x:c>
      <x:c r="AH164" s="60" t="str">
        <x:f>IF(C164="","",IF(AG164=AG163,AH163,AA163))</x:f>
      </x:c>
      <x:c r="AI164" s="60" t="str">
        <x:f>IF(C164="","",IF(AG164=AG163,AI163,AC163))</x:f>
      </x:c>
      <x:c r="AJ164" s="60" t="str">
        <x:f>IF(C164="","",IF(AG164=AG163,AJ163,AE163))</x:f>
      </x:c>
      <x:c r="AK164" s="60" t="n">
        <x:f>IF(OR(H164="Vundet",H164="Tabt"),1,0)</x:f>
        <x:v>0</x:v>
      </x:c>
      <x:c r="AL164" s="60" t="n"/>
      <x:c r="AM164" s="60" t="n">
        <x:f>MAX($AG$10:$AG$209)</x:f>
        <x:v>4</x:v>
      </x:c>
      <x:c r="AN164" s="60" t="str">
        <x:f>IF(C164="","",IF(AND(C165&lt;&gt;"",C165&lt;&gt;C164),1,0))</x:f>
      </x:c>
      <x:c r="AO164" s="60" t="n"/>
      <x:c r="AP164" s="60" t="n">
        <x:f>MAX($AG$10:$AG$209)</x:f>
        <x:v>4</x:v>
      </x:c>
      <x:c r="AQ164" t="str">
        <x:f>AG164</x:f>
      </x:c>
      <x:c r="AR164" t="n">
        <x:f>C164</x:f>
        <x:v>0</x:v>
      </x:c>
      <x:c r="AS164" t="n">
        <x:f>E164</x:f>
        <x:v>0</x:v>
      </x:c>
    </x:row>
    <x:row r="165">
      <x:c r="A165" s="60" t="str">
        <x:f>IF(C165="","",COUNTIF($C$10:C165,"&lt;&gt;"))</x:f>
      </x:c>
      <x:c r="B165" s="122" t="n"/>
      <x:c r="C165" s="87" t="n"/>
      <x:c r="D165" s="87" t="n"/>
      <x:c r="E165" s="87" t="n"/>
      <x:c r="F165" s="87" t="n"/>
      <x:c r="G165" s="87" t="n"/>
      <x:c r="H165" s="87" t="n"/>
      <x:c r="I165" s="87" t="n"/>
      <x:c r="J165" s="87" t="n"/>
      <x:c r="K165" s="87" t="n"/>
      <x:c r="L165" s="87" t="n"/>
      <x:c r="M165" s="87" t="n"/>
      <x:c r="N165" s="87" t="n"/>
      <x:c r="O165" s="62" t="str">
        <x:f>IF(G165="","",IF(G165="Single",AH165,IF(G165="Double",AI165,AJ165)))</x:f>
      </x:c>
      <x:c r="P165" s="62" t="str">
        <x:f>IF(OR(G165="",H165="Ikke spillet"),"",IF(G165="Single",O165,IF(J165="","",(O165+J165)/2)))</x:f>
      </x:c>
      <x:c r="Q165" s="62" t="str">
        <x:f>IF(OR(G165="",H165="Ikke spillet"),"",IF(G165="Single",L165,IF(OR(L165="",N165=""),"",(L165+N165)/2)))</x:f>
      </x:c>
      <x:c r="R165" s="62" t="str">
        <x:f>IF(OR(P165="",Q165=""),"",Q165-P165)</x:f>
      </x:c>
      <x:c r="S165" s="62" t="str">
        <x:f>IF(H165="Ikke spillet","",IF(R165="","",IF(ABS(R165)&lt;0.000001,"Lige (0)",VLOOKUP(ABS(R165),'BD Pointtabel'!$A$4:$G$15,2,TRUE))))</x:f>
      </x:c>
      <x:c r="T165" s="62" t="str">
        <x:f>IF(H165="Ikke spillet","Ikke spillet",IF(H165="Planlagt","Planlagt",IF(OR(H165="",P165="",Q165=""),"",IF(H165="Vundet",IF(R165&gt;0,"Uventet sejr","Ventet sejr"),IF(R165&gt;=0,"Ventet nederlag","Uventet nederlag")))))</x:f>
      </x:c>
      <x:c r="U165" s="62" t="str">
        <x:f>IF(OR(H165="Ikke spillet",H165="Planlagt"),"",IF(OR(G165="",H165="",P165="",Q165=""),"",IF(AND(F165="Ungdomsholdturnering",OR(G165="Double",G165="Mix"),H165="Tabt"),0,IF(H165="Vundet",IF(R165&gt;0,VLOOKUP(ABS(R165),'BD Pointtabel'!$A$4:$G$15,4,TRUE),VLOOKUP(ABS(R165),'BD Pointtabel'!$A$4:$G$15,7,TRUE)),IF(R165&gt;=0,VLOOKUP(ABS(R165),'BD Pointtabel'!$A$4:$G$15,6,TRUE),VLOOKUP(ABS(R165),'BD Pointtabel'!$A$4:$G$15,3,TRUE))))))</x:f>
      </x:c>
      <x:c r="V165" s="62" t="str">
        <x:f>IF(G165="","",SUMIFS($U$10:U165,$AG$10:AG165,AG165,$G$10:G165,G165))</x:f>
      </x:c>
      <x:c r="W165" s="62" t="str">
        <x:f>IF(C165="","",IF(AN165&lt;&gt;1,"",IF(G165="Single",AA165,IF(G165="Double",AC165,AE165))))</x:f>
      </x:c>
      <x:c r="X165" s="62" t="str">
        <x:f>IF(C165="","",IF(AN165&lt;&gt;1,"",ROUND(((AA165*AB165+AC165*AD165+AE165*AF165)/(AB165+AD165+AF165))+IF((MAX(AA165,AC165,AE165)-(AA165+AC165+AE165-MAX(AA165,AC165,AE165)-MIN(AA165,AC165,AE165)))&lt;'Model &amp; indstillinger'!$E$16,'Model &amp; indstillinger'!$E$18,'Model &amp; indstillinger'!$E$20)*(MAX(AA165,AC165,AE165)-((AA165*AB165+AC165*AD165+AE165*AF165)/(AB165+AD165+AF165))),0)))</x:f>
      </x:c>
      <x:c r="Y165" s="62" t="str">
        <x:f>IF(X165="","",'Model &amp; indstillinger'!$B$4-X165)</x:f>
      </x:c>
      <x:c r="Z165" s="62" t="str">
        <x:f>IF(C165="","",IF(H165="Planlagt","Planlagt – ingen point endnu",IF(H165="Ikke spillet","Ikke spillet – tæller ikke som kamp og giver ingen point",IF(AN165=1,"STÆVNE SLUT – samlet point tilskrives","Frosset pointgrundlag – ingen tilskrivning endnu"))))</x:f>
      </x:c>
      <x:c r="AA165" s="60" t="str">
        <x:f>IF(C165="","",'Model &amp; indstillinger'!$B$6+SUMIFS($U$10:U165,$G$10:G165,"Single"))</x:f>
      </x:c>
      <x:c r="AB165" s="60" t="str">
        <x:f>IF(C165="","",'Model &amp; indstillinger'!$B$7+COUNTIFS($G$10:G165,"Single",$AK$10:AK165,1))</x:f>
      </x:c>
      <x:c r="AC165" s="60" t="str">
        <x:f>IF(C165="","",'Model &amp; indstillinger'!$B$8+SUMIFS($U$10:U165,$G$10:G165,"Double"))</x:f>
      </x:c>
      <x:c r="AD165" s="60" t="str">
        <x:f>IF(C165="","",'Model &amp; indstillinger'!$B$9+COUNTIFS($G$10:G165,"Double",$AK$10:AK165,1))</x:f>
      </x:c>
      <x:c r="AE165" s="60" t="str">
        <x:f>IF(C165="","",'Model &amp; indstillinger'!$B$10+SUMIFS($U$10:U165,$G$10:G165,"Mix"))</x:f>
      </x:c>
      <x:c r="AF165" s="60" t="str">
        <x:f>IF(C165="","",'Model &amp; indstillinger'!$B$11+COUNTIFS($G$10:G165,"Mix",$AK$10:AK165,1))</x:f>
      </x:c>
      <x:c r="AG165" s="60" t="str">
        <x:f>IF(C165="","",IF(C165=C164,AG164,AG164+1))</x:f>
      </x:c>
      <x:c r="AH165" s="60" t="str">
        <x:f>IF(C165="","",IF(AG165=AG164,AH164,AA164))</x:f>
      </x:c>
      <x:c r="AI165" s="60" t="str">
        <x:f>IF(C165="","",IF(AG165=AG164,AI164,AC164))</x:f>
      </x:c>
      <x:c r="AJ165" s="60" t="str">
        <x:f>IF(C165="","",IF(AG165=AG164,AJ164,AE164))</x:f>
      </x:c>
      <x:c r="AK165" s="60" t="n">
        <x:f>IF(OR(H165="Vundet",H165="Tabt"),1,0)</x:f>
        <x:v>0</x:v>
      </x:c>
      <x:c r="AL165" s="60" t="n"/>
      <x:c r="AM165" s="60" t="n">
        <x:f>MAX($AG$10:$AG$209)</x:f>
        <x:v>4</x:v>
      </x:c>
      <x:c r="AN165" s="60" t="str">
        <x:f>IF(C165="","",IF(AND(C166&lt;&gt;"",C166&lt;&gt;C165),1,0))</x:f>
      </x:c>
      <x:c r="AO165" s="60" t="n"/>
      <x:c r="AP165" s="60" t="n">
        <x:f>MAX($AG$10:$AG$209)</x:f>
        <x:v>4</x:v>
      </x:c>
      <x:c r="AQ165" t="str">
        <x:f>AG165</x:f>
      </x:c>
      <x:c r="AR165" t="n">
        <x:f>C165</x:f>
        <x:v>0</x:v>
      </x:c>
      <x:c r="AS165" t="n">
        <x:f>E165</x:f>
        <x:v>0</x:v>
      </x:c>
    </x:row>
    <x:row r="166">
      <x:c r="A166" s="60" t="str">
        <x:f>IF(C166="","",COUNTIF($C$10:C166,"&lt;&gt;"))</x:f>
      </x:c>
      <x:c r="B166" s="122" t="n"/>
      <x:c r="C166" s="87" t="n"/>
      <x:c r="D166" s="87" t="n"/>
      <x:c r="E166" s="87" t="n"/>
      <x:c r="F166" s="87" t="n"/>
      <x:c r="G166" s="87" t="n"/>
      <x:c r="H166" s="87" t="n"/>
      <x:c r="I166" s="87" t="n"/>
      <x:c r="J166" s="87" t="n"/>
      <x:c r="K166" s="87" t="n"/>
      <x:c r="L166" s="87" t="n"/>
      <x:c r="M166" s="87" t="n"/>
      <x:c r="N166" s="87" t="n"/>
      <x:c r="O166" s="62" t="str">
        <x:f>IF(G166="","",IF(G166="Single",AH166,IF(G166="Double",AI166,AJ166)))</x:f>
      </x:c>
      <x:c r="P166" s="62" t="str">
        <x:f>IF(OR(G166="",H166="Ikke spillet"),"",IF(G166="Single",O166,IF(J166="","",(O166+J166)/2)))</x:f>
      </x:c>
      <x:c r="Q166" s="62" t="str">
        <x:f>IF(OR(G166="",H166="Ikke spillet"),"",IF(G166="Single",L166,IF(OR(L166="",N166=""),"",(L166+N166)/2)))</x:f>
      </x:c>
      <x:c r="R166" s="62" t="str">
        <x:f>IF(OR(P166="",Q166=""),"",Q166-P166)</x:f>
      </x:c>
      <x:c r="S166" s="62" t="str">
        <x:f>IF(H166="Ikke spillet","",IF(R166="","",IF(ABS(R166)&lt;0.000001,"Lige (0)",VLOOKUP(ABS(R166),'BD Pointtabel'!$A$4:$G$15,2,TRUE))))</x:f>
      </x:c>
      <x:c r="T166" s="62" t="str">
        <x:f>IF(H166="Ikke spillet","Ikke spillet",IF(H166="Planlagt","Planlagt",IF(OR(H166="",P166="",Q166=""),"",IF(H166="Vundet",IF(R166&gt;0,"Uventet sejr","Ventet sejr"),IF(R166&gt;=0,"Ventet nederlag","Uventet nederlag")))))</x:f>
      </x:c>
      <x:c r="U166" s="62" t="str">
        <x:f>IF(OR(H166="Ikke spillet",H166="Planlagt"),"",IF(OR(G166="",H166="",P166="",Q166=""),"",IF(AND(F166="Ungdomsholdturnering",OR(G166="Double",G166="Mix"),H166="Tabt"),0,IF(H166="Vundet",IF(R166&gt;0,VLOOKUP(ABS(R166),'BD Pointtabel'!$A$4:$G$15,4,TRUE),VLOOKUP(ABS(R166),'BD Pointtabel'!$A$4:$G$15,7,TRUE)),IF(R166&gt;=0,VLOOKUP(ABS(R166),'BD Pointtabel'!$A$4:$G$15,6,TRUE),VLOOKUP(ABS(R166),'BD Pointtabel'!$A$4:$G$15,3,TRUE))))))</x:f>
      </x:c>
      <x:c r="V166" s="62" t="str">
        <x:f>IF(G166="","",SUMIFS($U$10:U166,$AG$10:AG166,AG166,$G$10:G166,G166))</x:f>
      </x:c>
      <x:c r="W166" s="62" t="str">
        <x:f>IF(C166="","",IF(AN166&lt;&gt;1,"",IF(G166="Single",AA166,IF(G166="Double",AC166,AE166))))</x:f>
      </x:c>
      <x:c r="X166" s="62" t="str">
        <x:f>IF(C166="","",IF(AN166&lt;&gt;1,"",ROUND(((AA166*AB166+AC166*AD166+AE166*AF166)/(AB166+AD166+AF166))+IF((MAX(AA166,AC166,AE166)-(AA166+AC166+AE166-MAX(AA166,AC166,AE166)-MIN(AA166,AC166,AE166)))&lt;'Model &amp; indstillinger'!$E$16,'Model &amp; indstillinger'!$E$18,'Model &amp; indstillinger'!$E$20)*(MAX(AA166,AC166,AE166)-((AA166*AB166+AC166*AD166+AE166*AF166)/(AB166+AD166+AF166))),0)))</x:f>
      </x:c>
      <x:c r="Y166" s="62" t="str">
        <x:f>IF(X166="","",'Model &amp; indstillinger'!$B$4-X166)</x:f>
      </x:c>
      <x:c r="Z166" s="62" t="str">
        <x:f>IF(C166="","",IF(H166="Planlagt","Planlagt – ingen point endnu",IF(H166="Ikke spillet","Ikke spillet – tæller ikke som kamp og giver ingen point",IF(AN166=1,"STÆVNE SLUT – samlet point tilskrives","Frosset pointgrundlag – ingen tilskrivning endnu"))))</x:f>
      </x:c>
      <x:c r="AA166" s="60" t="str">
        <x:f>IF(C166="","",'Model &amp; indstillinger'!$B$6+SUMIFS($U$10:U166,$G$10:G166,"Single"))</x:f>
      </x:c>
      <x:c r="AB166" s="60" t="str">
        <x:f>IF(C166="","",'Model &amp; indstillinger'!$B$7+COUNTIFS($G$10:G166,"Single",$AK$10:AK166,1))</x:f>
      </x:c>
      <x:c r="AC166" s="60" t="str">
        <x:f>IF(C166="","",'Model &amp; indstillinger'!$B$8+SUMIFS($U$10:U166,$G$10:G166,"Double"))</x:f>
      </x:c>
      <x:c r="AD166" s="60" t="str">
        <x:f>IF(C166="","",'Model &amp; indstillinger'!$B$9+COUNTIFS($G$10:G166,"Double",$AK$10:AK166,1))</x:f>
      </x:c>
      <x:c r="AE166" s="60" t="str">
        <x:f>IF(C166="","",'Model &amp; indstillinger'!$B$10+SUMIFS($U$10:U166,$G$10:G166,"Mix"))</x:f>
      </x:c>
      <x:c r="AF166" s="60" t="str">
        <x:f>IF(C166="","",'Model &amp; indstillinger'!$B$11+COUNTIFS($G$10:G166,"Mix",$AK$10:AK166,1))</x:f>
      </x:c>
      <x:c r="AG166" s="60" t="str">
        <x:f>IF(C166="","",IF(C166=C165,AG165,AG165+1))</x:f>
      </x:c>
      <x:c r="AH166" s="60" t="str">
        <x:f>IF(C166="","",IF(AG166=AG165,AH165,AA165))</x:f>
      </x:c>
      <x:c r="AI166" s="60" t="str">
        <x:f>IF(C166="","",IF(AG166=AG165,AI165,AC165))</x:f>
      </x:c>
      <x:c r="AJ166" s="60" t="str">
        <x:f>IF(C166="","",IF(AG166=AG165,AJ165,AE165))</x:f>
      </x:c>
      <x:c r="AK166" s="60" t="n">
        <x:f>IF(OR(H166="Vundet",H166="Tabt"),1,0)</x:f>
        <x:v>0</x:v>
      </x:c>
      <x:c r="AL166" s="60" t="n"/>
      <x:c r="AM166" s="60" t="n">
        <x:f>MAX($AG$10:$AG$209)</x:f>
        <x:v>4</x:v>
      </x:c>
      <x:c r="AN166" s="60" t="str">
        <x:f>IF(C166="","",IF(AND(C167&lt;&gt;"",C167&lt;&gt;C166),1,0))</x:f>
      </x:c>
      <x:c r="AO166" s="60" t="n"/>
      <x:c r="AP166" s="60" t="n">
        <x:f>MAX($AG$10:$AG$209)</x:f>
        <x:v>4</x:v>
      </x:c>
      <x:c r="AQ166" t="str">
        <x:f>AG166</x:f>
      </x:c>
      <x:c r="AR166" t="n">
        <x:f>C166</x:f>
        <x:v>0</x:v>
      </x:c>
      <x:c r="AS166" t="n">
        <x:f>E166</x:f>
        <x:v>0</x:v>
      </x:c>
    </x:row>
    <x:row r="167">
      <x:c r="A167" s="60" t="str">
        <x:f>IF(C167="","",COUNTIF($C$10:C167,"&lt;&gt;"))</x:f>
      </x:c>
      <x:c r="B167" s="122" t="n"/>
      <x:c r="C167" s="87" t="n"/>
      <x:c r="D167" s="87" t="n"/>
      <x:c r="E167" s="87" t="n"/>
      <x:c r="F167" s="87" t="n"/>
      <x:c r="G167" s="87" t="n"/>
      <x:c r="H167" s="87" t="n"/>
      <x:c r="I167" s="87" t="n"/>
      <x:c r="J167" s="87" t="n"/>
      <x:c r="K167" s="87" t="n"/>
      <x:c r="L167" s="87" t="n"/>
      <x:c r="M167" s="87" t="n"/>
      <x:c r="N167" s="87" t="n"/>
      <x:c r="O167" s="62" t="str">
        <x:f>IF(G167="","",IF(G167="Single",AH167,IF(G167="Double",AI167,AJ167)))</x:f>
      </x:c>
      <x:c r="P167" s="62" t="str">
        <x:f>IF(OR(G167="",H167="Ikke spillet"),"",IF(G167="Single",O167,IF(J167="","",(O167+J167)/2)))</x:f>
      </x:c>
      <x:c r="Q167" s="62" t="str">
        <x:f>IF(OR(G167="",H167="Ikke spillet"),"",IF(G167="Single",L167,IF(OR(L167="",N167=""),"",(L167+N167)/2)))</x:f>
      </x:c>
      <x:c r="R167" s="62" t="str">
        <x:f>IF(OR(P167="",Q167=""),"",Q167-P167)</x:f>
      </x:c>
      <x:c r="S167" s="62" t="str">
        <x:f>IF(H167="Ikke spillet","",IF(R167="","",IF(ABS(R167)&lt;0.000001,"Lige (0)",VLOOKUP(ABS(R167),'BD Pointtabel'!$A$4:$G$15,2,TRUE))))</x:f>
      </x:c>
      <x:c r="T167" s="62" t="str">
        <x:f>IF(H167="Ikke spillet","Ikke spillet",IF(H167="Planlagt","Planlagt",IF(OR(H167="",P167="",Q167=""),"",IF(H167="Vundet",IF(R167&gt;0,"Uventet sejr","Ventet sejr"),IF(R167&gt;=0,"Ventet nederlag","Uventet nederlag")))))</x:f>
      </x:c>
      <x:c r="U167" s="62" t="str">
        <x:f>IF(OR(H167="Ikke spillet",H167="Planlagt"),"",IF(OR(G167="",H167="",P167="",Q167=""),"",IF(AND(F167="Ungdomsholdturnering",OR(G167="Double",G167="Mix"),H167="Tabt"),0,IF(H167="Vundet",IF(R167&gt;0,VLOOKUP(ABS(R167),'BD Pointtabel'!$A$4:$G$15,4,TRUE),VLOOKUP(ABS(R167),'BD Pointtabel'!$A$4:$G$15,7,TRUE)),IF(R167&gt;=0,VLOOKUP(ABS(R167),'BD Pointtabel'!$A$4:$G$15,6,TRUE),VLOOKUP(ABS(R167),'BD Pointtabel'!$A$4:$G$15,3,TRUE))))))</x:f>
      </x:c>
      <x:c r="V167" s="62" t="str">
        <x:f>IF(G167="","",SUMIFS($U$10:U167,$AG$10:AG167,AG167,$G$10:G167,G167))</x:f>
      </x:c>
      <x:c r="W167" s="62" t="str">
        <x:f>IF(C167="","",IF(AN167&lt;&gt;1,"",IF(G167="Single",AA167,IF(G167="Double",AC167,AE167))))</x:f>
      </x:c>
      <x:c r="X167" s="62" t="str">
        <x:f>IF(C167="","",IF(AN167&lt;&gt;1,"",ROUND(((AA167*AB167+AC167*AD167+AE167*AF167)/(AB167+AD167+AF167))+IF((MAX(AA167,AC167,AE167)-(AA167+AC167+AE167-MAX(AA167,AC167,AE167)-MIN(AA167,AC167,AE167)))&lt;'Model &amp; indstillinger'!$E$16,'Model &amp; indstillinger'!$E$18,'Model &amp; indstillinger'!$E$20)*(MAX(AA167,AC167,AE167)-((AA167*AB167+AC167*AD167+AE167*AF167)/(AB167+AD167+AF167))),0)))</x:f>
      </x:c>
      <x:c r="Y167" s="62" t="str">
        <x:f>IF(X167="","",'Model &amp; indstillinger'!$B$4-X167)</x:f>
      </x:c>
      <x:c r="Z167" s="62" t="str">
        <x:f>IF(C167="","",IF(H167="Planlagt","Planlagt – ingen point endnu",IF(H167="Ikke spillet","Ikke spillet – tæller ikke som kamp og giver ingen point",IF(AN167=1,"STÆVNE SLUT – samlet point tilskrives","Frosset pointgrundlag – ingen tilskrivning endnu"))))</x:f>
      </x:c>
      <x:c r="AA167" s="60" t="str">
        <x:f>IF(C167="","",'Model &amp; indstillinger'!$B$6+SUMIFS($U$10:U167,$G$10:G167,"Single"))</x:f>
      </x:c>
      <x:c r="AB167" s="60" t="str">
        <x:f>IF(C167="","",'Model &amp; indstillinger'!$B$7+COUNTIFS($G$10:G167,"Single",$AK$10:AK167,1))</x:f>
      </x:c>
      <x:c r="AC167" s="60" t="str">
        <x:f>IF(C167="","",'Model &amp; indstillinger'!$B$8+SUMIFS($U$10:U167,$G$10:G167,"Double"))</x:f>
      </x:c>
      <x:c r="AD167" s="60" t="str">
        <x:f>IF(C167="","",'Model &amp; indstillinger'!$B$9+COUNTIFS($G$10:G167,"Double",$AK$10:AK167,1))</x:f>
      </x:c>
      <x:c r="AE167" s="60" t="str">
        <x:f>IF(C167="","",'Model &amp; indstillinger'!$B$10+SUMIFS($U$10:U167,$G$10:G167,"Mix"))</x:f>
      </x:c>
      <x:c r="AF167" s="60" t="str">
        <x:f>IF(C167="","",'Model &amp; indstillinger'!$B$11+COUNTIFS($G$10:G167,"Mix",$AK$10:AK167,1))</x:f>
      </x:c>
      <x:c r="AG167" s="60" t="str">
        <x:f>IF(C167="","",IF(C167=C166,AG166,AG166+1))</x:f>
      </x:c>
      <x:c r="AH167" s="60" t="str">
        <x:f>IF(C167="","",IF(AG167=AG166,AH166,AA166))</x:f>
      </x:c>
      <x:c r="AI167" s="60" t="str">
        <x:f>IF(C167="","",IF(AG167=AG166,AI166,AC166))</x:f>
      </x:c>
      <x:c r="AJ167" s="60" t="str">
        <x:f>IF(C167="","",IF(AG167=AG166,AJ166,AE166))</x:f>
      </x:c>
      <x:c r="AK167" s="60" t="n">
        <x:f>IF(OR(H167="Vundet",H167="Tabt"),1,0)</x:f>
        <x:v>0</x:v>
      </x:c>
      <x:c r="AL167" s="60" t="n"/>
      <x:c r="AM167" s="60" t="n">
        <x:f>MAX($AG$10:$AG$209)</x:f>
        <x:v>4</x:v>
      </x:c>
      <x:c r="AN167" s="60" t="str">
        <x:f>IF(C167="","",IF(AND(C168&lt;&gt;"",C168&lt;&gt;C167),1,0))</x:f>
      </x:c>
      <x:c r="AO167" s="60" t="n"/>
      <x:c r="AP167" s="60" t="n">
        <x:f>MAX($AG$10:$AG$209)</x:f>
        <x:v>4</x:v>
      </x:c>
      <x:c r="AQ167" t="str">
        <x:f>AG167</x:f>
      </x:c>
      <x:c r="AR167" t="n">
        <x:f>C167</x:f>
        <x:v>0</x:v>
      </x:c>
      <x:c r="AS167" t="n">
        <x:f>E167</x:f>
        <x:v>0</x:v>
      </x:c>
    </x:row>
    <x:row r="168">
      <x:c r="A168" s="60" t="str">
        <x:f>IF(C168="","",COUNTIF($C$10:C168,"&lt;&gt;"))</x:f>
      </x:c>
      <x:c r="B168" s="122" t="n"/>
      <x:c r="C168" s="87" t="n"/>
      <x:c r="D168" s="87" t="n"/>
      <x:c r="E168" s="87" t="n"/>
      <x:c r="F168" s="87" t="n"/>
      <x:c r="G168" s="87" t="n"/>
      <x:c r="H168" s="87" t="n"/>
      <x:c r="I168" s="87" t="n"/>
      <x:c r="J168" s="87" t="n"/>
      <x:c r="K168" s="87" t="n"/>
      <x:c r="L168" s="87" t="n"/>
      <x:c r="M168" s="87" t="n"/>
      <x:c r="N168" s="87" t="n"/>
      <x:c r="O168" s="62" t="str">
        <x:f>IF(G168="","",IF(G168="Single",AH168,IF(G168="Double",AI168,AJ168)))</x:f>
      </x:c>
      <x:c r="P168" s="62" t="str">
        <x:f>IF(OR(G168="",H168="Ikke spillet"),"",IF(G168="Single",O168,IF(J168="","",(O168+J168)/2)))</x:f>
      </x:c>
      <x:c r="Q168" s="62" t="str">
        <x:f>IF(OR(G168="",H168="Ikke spillet"),"",IF(G168="Single",L168,IF(OR(L168="",N168=""),"",(L168+N168)/2)))</x:f>
      </x:c>
      <x:c r="R168" s="62" t="str">
        <x:f>IF(OR(P168="",Q168=""),"",Q168-P168)</x:f>
      </x:c>
      <x:c r="S168" s="62" t="str">
        <x:f>IF(H168="Ikke spillet","",IF(R168="","",IF(ABS(R168)&lt;0.000001,"Lige (0)",VLOOKUP(ABS(R168),'BD Pointtabel'!$A$4:$G$15,2,TRUE))))</x:f>
      </x:c>
      <x:c r="T168" s="62" t="str">
        <x:f>IF(H168="Ikke spillet","Ikke spillet",IF(H168="Planlagt","Planlagt",IF(OR(H168="",P168="",Q168=""),"",IF(H168="Vundet",IF(R168&gt;0,"Uventet sejr","Ventet sejr"),IF(R168&gt;=0,"Ventet nederlag","Uventet nederlag")))))</x:f>
      </x:c>
      <x:c r="U168" s="62" t="str">
        <x:f>IF(OR(H168="Ikke spillet",H168="Planlagt"),"",IF(OR(G168="",H168="",P168="",Q168=""),"",IF(AND(F168="Ungdomsholdturnering",OR(G168="Double",G168="Mix"),H168="Tabt"),0,IF(H168="Vundet",IF(R168&gt;0,VLOOKUP(ABS(R168),'BD Pointtabel'!$A$4:$G$15,4,TRUE),VLOOKUP(ABS(R168),'BD Pointtabel'!$A$4:$G$15,7,TRUE)),IF(R168&gt;=0,VLOOKUP(ABS(R168),'BD Pointtabel'!$A$4:$G$15,6,TRUE),VLOOKUP(ABS(R168),'BD Pointtabel'!$A$4:$G$15,3,TRUE))))))</x:f>
      </x:c>
      <x:c r="V168" s="62" t="str">
        <x:f>IF(G168="","",SUMIFS($U$10:U168,$AG$10:AG168,AG168,$G$10:G168,G168))</x:f>
      </x:c>
      <x:c r="W168" s="62" t="str">
        <x:f>IF(C168="","",IF(AN168&lt;&gt;1,"",IF(G168="Single",AA168,IF(G168="Double",AC168,AE168))))</x:f>
      </x:c>
      <x:c r="X168" s="62" t="str">
        <x:f>IF(C168="","",IF(AN168&lt;&gt;1,"",ROUND(((AA168*AB168+AC168*AD168+AE168*AF168)/(AB168+AD168+AF168))+IF((MAX(AA168,AC168,AE168)-(AA168+AC168+AE168-MAX(AA168,AC168,AE168)-MIN(AA168,AC168,AE168)))&lt;'Model &amp; indstillinger'!$E$16,'Model &amp; indstillinger'!$E$18,'Model &amp; indstillinger'!$E$20)*(MAX(AA168,AC168,AE168)-((AA168*AB168+AC168*AD168+AE168*AF168)/(AB168+AD168+AF168))),0)))</x:f>
      </x:c>
      <x:c r="Y168" s="62" t="str">
        <x:f>IF(X168="","",'Model &amp; indstillinger'!$B$4-X168)</x:f>
      </x:c>
      <x:c r="Z168" s="62" t="str">
        <x:f>IF(C168="","",IF(H168="Planlagt","Planlagt – ingen point endnu",IF(H168="Ikke spillet","Ikke spillet – tæller ikke som kamp og giver ingen point",IF(AN168=1,"STÆVNE SLUT – samlet point tilskrives","Frosset pointgrundlag – ingen tilskrivning endnu"))))</x:f>
      </x:c>
      <x:c r="AA168" s="60" t="str">
        <x:f>IF(C168="","",'Model &amp; indstillinger'!$B$6+SUMIFS($U$10:U168,$G$10:G168,"Single"))</x:f>
      </x:c>
      <x:c r="AB168" s="60" t="str">
        <x:f>IF(C168="","",'Model &amp; indstillinger'!$B$7+COUNTIFS($G$10:G168,"Single",$AK$10:AK168,1))</x:f>
      </x:c>
      <x:c r="AC168" s="60" t="str">
        <x:f>IF(C168="","",'Model &amp; indstillinger'!$B$8+SUMIFS($U$10:U168,$G$10:G168,"Double"))</x:f>
      </x:c>
      <x:c r="AD168" s="60" t="str">
        <x:f>IF(C168="","",'Model &amp; indstillinger'!$B$9+COUNTIFS($G$10:G168,"Double",$AK$10:AK168,1))</x:f>
      </x:c>
      <x:c r="AE168" s="60" t="str">
        <x:f>IF(C168="","",'Model &amp; indstillinger'!$B$10+SUMIFS($U$10:U168,$G$10:G168,"Mix"))</x:f>
      </x:c>
      <x:c r="AF168" s="60" t="str">
        <x:f>IF(C168="","",'Model &amp; indstillinger'!$B$11+COUNTIFS($G$10:G168,"Mix",$AK$10:AK168,1))</x:f>
      </x:c>
      <x:c r="AG168" s="60" t="str">
        <x:f>IF(C168="","",IF(C168=C167,AG167,AG167+1))</x:f>
      </x:c>
      <x:c r="AH168" s="60" t="str">
        <x:f>IF(C168="","",IF(AG168=AG167,AH167,AA167))</x:f>
      </x:c>
      <x:c r="AI168" s="60" t="str">
        <x:f>IF(C168="","",IF(AG168=AG167,AI167,AC167))</x:f>
      </x:c>
      <x:c r="AJ168" s="60" t="str">
        <x:f>IF(C168="","",IF(AG168=AG167,AJ167,AE167))</x:f>
      </x:c>
      <x:c r="AK168" s="60" t="n">
        <x:f>IF(OR(H168="Vundet",H168="Tabt"),1,0)</x:f>
        <x:v>0</x:v>
      </x:c>
      <x:c r="AL168" s="60" t="n"/>
      <x:c r="AM168" s="60" t="n">
        <x:f>MAX($AG$10:$AG$209)</x:f>
        <x:v>4</x:v>
      </x:c>
      <x:c r="AN168" s="60" t="str">
        <x:f>IF(C168="","",IF(AND(C169&lt;&gt;"",C169&lt;&gt;C168),1,0))</x:f>
      </x:c>
      <x:c r="AO168" s="60" t="n"/>
      <x:c r="AP168" s="60" t="n">
        <x:f>MAX($AG$10:$AG$209)</x:f>
        <x:v>4</x:v>
      </x:c>
      <x:c r="AQ168" t="str">
        <x:f>AG168</x:f>
      </x:c>
      <x:c r="AR168" t="n">
        <x:f>C168</x:f>
        <x:v>0</x:v>
      </x:c>
      <x:c r="AS168" t="n">
        <x:f>E168</x:f>
        <x:v>0</x:v>
      </x:c>
    </x:row>
    <x:row r="169">
      <x:c r="A169" s="60" t="str">
        <x:f>IF(C169="","",COUNTIF($C$10:C169,"&lt;&gt;"))</x:f>
      </x:c>
      <x:c r="B169" s="122" t="n"/>
      <x:c r="C169" s="87" t="n"/>
      <x:c r="D169" s="87" t="n"/>
      <x:c r="E169" s="87" t="n"/>
      <x:c r="F169" s="87" t="n"/>
      <x:c r="G169" s="87" t="n"/>
      <x:c r="H169" s="87" t="n"/>
      <x:c r="I169" s="87" t="n"/>
      <x:c r="J169" s="87" t="n"/>
      <x:c r="K169" s="87" t="n"/>
      <x:c r="L169" s="87" t="n"/>
      <x:c r="M169" s="87" t="n"/>
      <x:c r="N169" s="87" t="n"/>
      <x:c r="O169" s="62" t="str">
        <x:f>IF(G169="","",IF(G169="Single",AH169,IF(G169="Double",AI169,AJ169)))</x:f>
      </x:c>
      <x:c r="P169" s="62" t="str">
        <x:f>IF(OR(G169="",H169="Ikke spillet"),"",IF(G169="Single",O169,IF(J169="","",(O169+J169)/2)))</x:f>
      </x:c>
      <x:c r="Q169" s="62" t="str">
        <x:f>IF(OR(G169="",H169="Ikke spillet"),"",IF(G169="Single",L169,IF(OR(L169="",N169=""),"",(L169+N169)/2)))</x:f>
      </x:c>
      <x:c r="R169" s="62" t="str">
        <x:f>IF(OR(P169="",Q169=""),"",Q169-P169)</x:f>
      </x:c>
      <x:c r="S169" s="62" t="str">
        <x:f>IF(H169="Ikke spillet","",IF(R169="","",IF(ABS(R169)&lt;0.000001,"Lige (0)",VLOOKUP(ABS(R169),'BD Pointtabel'!$A$4:$G$15,2,TRUE))))</x:f>
      </x:c>
      <x:c r="T169" s="62" t="str">
        <x:f>IF(H169="Ikke spillet","Ikke spillet",IF(H169="Planlagt","Planlagt",IF(OR(H169="",P169="",Q169=""),"",IF(H169="Vundet",IF(R169&gt;0,"Uventet sejr","Ventet sejr"),IF(R169&gt;=0,"Ventet nederlag","Uventet nederlag")))))</x:f>
      </x:c>
      <x:c r="U169" s="62" t="str">
        <x:f>IF(OR(H169="Ikke spillet",H169="Planlagt"),"",IF(OR(G169="",H169="",P169="",Q169=""),"",IF(AND(F169="Ungdomsholdturnering",OR(G169="Double",G169="Mix"),H169="Tabt"),0,IF(H169="Vundet",IF(R169&gt;0,VLOOKUP(ABS(R169),'BD Pointtabel'!$A$4:$G$15,4,TRUE),VLOOKUP(ABS(R169),'BD Pointtabel'!$A$4:$G$15,7,TRUE)),IF(R169&gt;=0,VLOOKUP(ABS(R169),'BD Pointtabel'!$A$4:$G$15,6,TRUE),VLOOKUP(ABS(R169),'BD Pointtabel'!$A$4:$G$15,3,TRUE))))))</x:f>
      </x:c>
      <x:c r="V169" s="62" t="str">
        <x:f>IF(G169="","",SUMIFS($U$10:U169,$AG$10:AG169,AG169,$G$10:G169,G169))</x:f>
      </x:c>
      <x:c r="W169" s="62" t="str">
        <x:f>IF(C169="","",IF(AN169&lt;&gt;1,"",IF(G169="Single",AA169,IF(G169="Double",AC169,AE169))))</x:f>
      </x:c>
      <x:c r="X169" s="62" t="str">
        <x:f>IF(C169="","",IF(AN169&lt;&gt;1,"",ROUND(((AA169*AB169+AC169*AD169+AE169*AF169)/(AB169+AD169+AF169))+IF((MAX(AA169,AC169,AE169)-(AA169+AC169+AE169-MAX(AA169,AC169,AE169)-MIN(AA169,AC169,AE169)))&lt;'Model &amp; indstillinger'!$E$16,'Model &amp; indstillinger'!$E$18,'Model &amp; indstillinger'!$E$20)*(MAX(AA169,AC169,AE169)-((AA169*AB169+AC169*AD169+AE169*AF169)/(AB169+AD169+AF169))),0)))</x:f>
      </x:c>
      <x:c r="Y169" s="62" t="str">
        <x:f>IF(X169="","",'Model &amp; indstillinger'!$B$4-X169)</x:f>
      </x:c>
      <x:c r="Z169" s="62" t="str">
        <x:f>IF(C169="","",IF(H169="Planlagt","Planlagt – ingen point endnu",IF(H169="Ikke spillet","Ikke spillet – tæller ikke som kamp og giver ingen point",IF(AN169=1,"STÆVNE SLUT – samlet point tilskrives","Frosset pointgrundlag – ingen tilskrivning endnu"))))</x:f>
      </x:c>
      <x:c r="AA169" s="60" t="str">
        <x:f>IF(C169="","",'Model &amp; indstillinger'!$B$6+SUMIFS($U$10:U169,$G$10:G169,"Single"))</x:f>
      </x:c>
      <x:c r="AB169" s="60" t="str">
        <x:f>IF(C169="","",'Model &amp; indstillinger'!$B$7+COUNTIFS($G$10:G169,"Single",$AK$10:AK169,1))</x:f>
      </x:c>
      <x:c r="AC169" s="60" t="str">
        <x:f>IF(C169="","",'Model &amp; indstillinger'!$B$8+SUMIFS($U$10:U169,$G$10:G169,"Double"))</x:f>
      </x:c>
      <x:c r="AD169" s="60" t="str">
        <x:f>IF(C169="","",'Model &amp; indstillinger'!$B$9+COUNTIFS($G$10:G169,"Double",$AK$10:AK169,1))</x:f>
      </x:c>
      <x:c r="AE169" s="60" t="str">
        <x:f>IF(C169="","",'Model &amp; indstillinger'!$B$10+SUMIFS($U$10:U169,$G$10:G169,"Mix"))</x:f>
      </x:c>
      <x:c r="AF169" s="60" t="str">
        <x:f>IF(C169="","",'Model &amp; indstillinger'!$B$11+COUNTIFS($G$10:G169,"Mix",$AK$10:AK169,1))</x:f>
      </x:c>
      <x:c r="AG169" s="60" t="str">
        <x:f>IF(C169="","",IF(C169=C168,AG168,AG168+1))</x:f>
      </x:c>
      <x:c r="AH169" s="60" t="str">
        <x:f>IF(C169="","",IF(AG169=AG168,AH168,AA168))</x:f>
      </x:c>
      <x:c r="AI169" s="60" t="str">
        <x:f>IF(C169="","",IF(AG169=AG168,AI168,AC168))</x:f>
      </x:c>
      <x:c r="AJ169" s="60" t="str">
        <x:f>IF(C169="","",IF(AG169=AG168,AJ168,AE168))</x:f>
      </x:c>
      <x:c r="AK169" s="60" t="n">
        <x:f>IF(OR(H169="Vundet",H169="Tabt"),1,0)</x:f>
        <x:v>0</x:v>
      </x:c>
      <x:c r="AL169" s="60" t="n"/>
      <x:c r="AM169" s="60" t="n">
        <x:f>MAX($AG$10:$AG$209)</x:f>
        <x:v>4</x:v>
      </x:c>
      <x:c r="AN169" s="60" t="str">
        <x:f>IF(C169="","",IF(AND(C170&lt;&gt;"",C170&lt;&gt;C169),1,0))</x:f>
      </x:c>
      <x:c r="AO169" s="60" t="n"/>
      <x:c r="AP169" s="60" t="n">
        <x:f>MAX($AG$10:$AG$209)</x:f>
        <x:v>4</x:v>
      </x:c>
      <x:c r="AQ169" t="str">
        <x:f>AG169</x:f>
      </x:c>
      <x:c r="AR169" t="n">
        <x:f>C169</x:f>
        <x:v>0</x:v>
      </x:c>
      <x:c r="AS169" t="n">
        <x:f>E169</x:f>
        <x:v>0</x:v>
      </x:c>
    </x:row>
    <x:row r="170">
      <x:c r="A170" s="60" t="str">
        <x:f>IF(C170="","",COUNTIF($C$10:C170,"&lt;&gt;"))</x:f>
      </x:c>
      <x:c r="B170" s="122" t="n"/>
      <x:c r="C170" s="87" t="n"/>
      <x:c r="D170" s="87" t="n"/>
      <x:c r="E170" s="87" t="n"/>
      <x:c r="F170" s="87" t="n"/>
      <x:c r="G170" s="87" t="n"/>
      <x:c r="H170" s="87" t="n"/>
      <x:c r="I170" s="87" t="n"/>
      <x:c r="J170" s="87" t="n"/>
      <x:c r="K170" s="87" t="n"/>
      <x:c r="L170" s="87" t="n"/>
      <x:c r="M170" s="87" t="n"/>
      <x:c r="N170" s="87" t="n"/>
      <x:c r="O170" s="62" t="str">
        <x:f>IF(G170="","",IF(G170="Single",AH170,IF(G170="Double",AI170,AJ170)))</x:f>
      </x:c>
      <x:c r="P170" s="62" t="str">
        <x:f>IF(OR(G170="",H170="Ikke spillet"),"",IF(G170="Single",O170,IF(J170="","",(O170+J170)/2)))</x:f>
      </x:c>
      <x:c r="Q170" s="62" t="str">
        <x:f>IF(OR(G170="",H170="Ikke spillet"),"",IF(G170="Single",L170,IF(OR(L170="",N170=""),"",(L170+N170)/2)))</x:f>
      </x:c>
      <x:c r="R170" s="62" t="str">
        <x:f>IF(OR(P170="",Q170=""),"",Q170-P170)</x:f>
      </x:c>
      <x:c r="S170" s="62" t="str">
        <x:f>IF(H170="Ikke spillet","",IF(R170="","",IF(ABS(R170)&lt;0.000001,"Lige (0)",VLOOKUP(ABS(R170),'BD Pointtabel'!$A$4:$G$15,2,TRUE))))</x:f>
      </x:c>
      <x:c r="T170" s="62" t="str">
        <x:f>IF(H170="Ikke spillet","Ikke spillet",IF(H170="Planlagt","Planlagt",IF(OR(H170="",P170="",Q170=""),"",IF(H170="Vundet",IF(R170&gt;0,"Uventet sejr","Ventet sejr"),IF(R170&gt;=0,"Ventet nederlag","Uventet nederlag")))))</x:f>
      </x:c>
      <x:c r="U170" s="62" t="str">
        <x:f>IF(OR(H170="Ikke spillet",H170="Planlagt"),"",IF(OR(G170="",H170="",P170="",Q170=""),"",IF(AND(F170="Ungdomsholdturnering",OR(G170="Double",G170="Mix"),H170="Tabt"),0,IF(H170="Vundet",IF(R170&gt;0,VLOOKUP(ABS(R170),'BD Pointtabel'!$A$4:$G$15,4,TRUE),VLOOKUP(ABS(R170),'BD Pointtabel'!$A$4:$G$15,7,TRUE)),IF(R170&gt;=0,VLOOKUP(ABS(R170),'BD Pointtabel'!$A$4:$G$15,6,TRUE),VLOOKUP(ABS(R170),'BD Pointtabel'!$A$4:$G$15,3,TRUE))))))</x:f>
      </x:c>
      <x:c r="V170" s="62" t="str">
        <x:f>IF(G170="","",SUMIFS($U$10:U170,$AG$10:AG170,AG170,$G$10:G170,G170))</x:f>
      </x:c>
      <x:c r="W170" s="62" t="str">
        <x:f>IF(C170="","",IF(AN170&lt;&gt;1,"",IF(G170="Single",AA170,IF(G170="Double",AC170,AE170))))</x:f>
      </x:c>
      <x:c r="X170" s="62" t="str">
        <x:f>IF(C170="","",IF(AN170&lt;&gt;1,"",ROUND(((AA170*AB170+AC170*AD170+AE170*AF170)/(AB170+AD170+AF170))+IF((MAX(AA170,AC170,AE170)-(AA170+AC170+AE170-MAX(AA170,AC170,AE170)-MIN(AA170,AC170,AE170)))&lt;'Model &amp; indstillinger'!$E$16,'Model &amp; indstillinger'!$E$18,'Model &amp; indstillinger'!$E$20)*(MAX(AA170,AC170,AE170)-((AA170*AB170+AC170*AD170+AE170*AF170)/(AB170+AD170+AF170))),0)))</x:f>
      </x:c>
      <x:c r="Y170" s="62" t="str">
        <x:f>IF(X170="","",'Model &amp; indstillinger'!$B$4-X170)</x:f>
      </x:c>
      <x:c r="Z170" s="62" t="str">
        <x:f>IF(C170="","",IF(H170="Planlagt","Planlagt – ingen point endnu",IF(H170="Ikke spillet","Ikke spillet – tæller ikke som kamp og giver ingen point",IF(AN170=1,"STÆVNE SLUT – samlet point tilskrives","Frosset pointgrundlag – ingen tilskrivning endnu"))))</x:f>
      </x:c>
      <x:c r="AA170" s="60" t="str">
        <x:f>IF(C170="","",'Model &amp; indstillinger'!$B$6+SUMIFS($U$10:U170,$G$10:G170,"Single"))</x:f>
      </x:c>
      <x:c r="AB170" s="60" t="str">
        <x:f>IF(C170="","",'Model &amp; indstillinger'!$B$7+COUNTIFS($G$10:G170,"Single",$AK$10:AK170,1))</x:f>
      </x:c>
      <x:c r="AC170" s="60" t="str">
        <x:f>IF(C170="","",'Model &amp; indstillinger'!$B$8+SUMIFS($U$10:U170,$G$10:G170,"Double"))</x:f>
      </x:c>
      <x:c r="AD170" s="60" t="str">
        <x:f>IF(C170="","",'Model &amp; indstillinger'!$B$9+COUNTIFS($G$10:G170,"Double",$AK$10:AK170,1))</x:f>
      </x:c>
      <x:c r="AE170" s="60" t="str">
        <x:f>IF(C170="","",'Model &amp; indstillinger'!$B$10+SUMIFS($U$10:U170,$G$10:G170,"Mix"))</x:f>
      </x:c>
      <x:c r="AF170" s="60" t="str">
        <x:f>IF(C170="","",'Model &amp; indstillinger'!$B$11+COUNTIFS($G$10:G170,"Mix",$AK$10:AK170,1))</x:f>
      </x:c>
      <x:c r="AG170" s="60" t="str">
        <x:f>IF(C170="","",IF(C170=C169,AG169,AG169+1))</x:f>
      </x:c>
      <x:c r="AH170" s="60" t="str">
        <x:f>IF(C170="","",IF(AG170=AG169,AH169,AA169))</x:f>
      </x:c>
      <x:c r="AI170" s="60" t="str">
        <x:f>IF(C170="","",IF(AG170=AG169,AI169,AC169))</x:f>
      </x:c>
      <x:c r="AJ170" s="60" t="str">
        <x:f>IF(C170="","",IF(AG170=AG169,AJ169,AE169))</x:f>
      </x:c>
      <x:c r="AK170" s="60" t="n">
        <x:f>IF(OR(H170="Vundet",H170="Tabt"),1,0)</x:f>
        <x:v>0</x:v>
      </x:c>
      <x:c r="AL170" s="60" t="n"/>
      <x:c r="AM170" s="60" t="n">
        <x:f>MAX($AG$10:$AG$209)</x:f>
        <x:v>4</x:v>
      </x:c>
      <x:c r="AN170" s="60" t="str">
        <x:f>IF(C170="","",IF(AND(C171&lt;&gt;"",C171&lt;&gt;C170),1,0))</x:f>
      </x:c>
      <x:c r="AO170" s="60" t="n"/>
      <x:c r="AP170" s="60" t="n">
        <x:f>MAX($AG$10:$AG$209)</x:f>
        <x:v>4</x:v>
      </x:c>
      <x:c r="AQ170" t="str">
        <x:f>AG170</x:f>
      </x:c>
      <x:c r="AR170" t="n">
        <x:f>C170</x:f>
        <x:v>0</x:v>
      </x:c>
      <x:c r="AS170" t="n">
        <x:f>E170</x:f>
        <x:v>0</x:v>
      </x:c>
    </x:row>
    <x:row r="171">
      <x:c r="A171" s="60" t="str">
        <x:f>IF(C171="","",COUNTIF($C$10:C171,"&lt;&gt;"))</x:f>
      </x:c>
      <x:c r="B171" s="122" t="n"/>
      <x:c r="C171" s="87" t="n"/>
      <x:c r="D171" s="87" t="n"/>
      <x:c r="E171" s="87" t="n"/>
      <x:c r="F171" s="87" t="n"/>
      <x:c r="G171" s="87" t="n"/>
      <x:c r="H171" s="87" t="n"/>
      <x:c r="I171" s="87" t="n"/>
      <x:c r="J171" s="87" t="n"/>
      <x:c r="K171" s="87" t="n"/>
      <x:c r="L171" s="87" t="n"/>
      <x:c r="M171" s="87" t="n"/>
      <x:c r="N171" s="87" t="n"/>
      <x:c r="O171" s="62" t="str">
        <x:f>IF(G171="","",IF(G171="Single",AH171,IF(G171="Double",AI171,AJ171)))</x:f>
      </x:c>
      <x:c r="P171" s="62" t="str">
        <x:f>IF(OR(G171="",H171="Ikke spillet"),"",IF(G171="Single",O171,IF(J171="","",(O171+J171)/2)))</x:f>
      </x:c>
      <x:c r="Q171" s="62" t="str">
        <x:f>IF(OR(G171="",H171="Ikke spillet"),"",IF(G171="Single",L171,IF(OR(L171="",N171=""),"",(L171+N171)/2)))</x:f>
      </x:c>
      <x:c r="R171" s="62" t="str">
        <x:f>IF(OR(P171="",Q171=""),"",Q171-P171)</x:f>
      </x:c>
      <x:c r="S171" s="62" t="str">
        <x:f>IF(H171="Ikke spillet","",IF(R171="","",IF(ABS(R171)&lt;0.000001,"Lige (0)",VLOOKUP(ABS(R171),'BD Pointtabel'!$A$4:$G$15,2,TRUE))))</x:f>
      </x:c>
      <x:c r="T171" s="62" t="str">
        <x:f>IF(H171="Ikke spillet","Ikke spillet",IF(H171="Planlagt","Planlagt",IF(OR(H171="",P171="",Q171=""),"",IF(H171="Vundet",IF(R171&gt;0,"Uventet sejr","Ventet sejr"),IF(R171&gt;=0,"Ventet nederlag","Uventet nederlag")))))</x:f>
      </x:c>
      <x:c r="U171" s="62" t="str">
        <x:f>IF(OR(H171="Ikke spillet",H171="Planlagt"),"",IF(OR(G171="",H171="",P171="",Q171=""),"",IF(AND(F171="Ungdomsholdturnering",OR(G171="Double",G171="Mix"),H171="Tabt"),0,IF(H171="Vundet",IF(R171&gt;0,VLOOKUP(ABS(R171),'BD Pointtabel'!$A$4:$G$15,4,TRUE),VLOOKUP(ABS(R171),'BD Pointtabel'!$A$4:$G$15,7,TRUE)),IF(R171&gt;=0,VLOOKUP(ABS(R171),'BD Pointtabel'!$A$4:$G$15,6,TRUE),VLOOKUP(ABS(R171),'BD Pointtabel'!$A$4:$G$15,3,TRUE))))))</x:f>
      </x:c>
      <x:c r="V171" s="62" t="str">
        <x:f>IF(G171="","",SUMIFS($U$10:U171,$AG$10:AG171,AG171,$G$10:G171,G171))</x:f>
      </x:c>
      <x:c r="W171" s="62" t="str">
        <x:f>IF(C171="","",IF(AN171&lt;&gt;1,"",IF(G171="Single",AA171,IF(G171="Double",AC171,AE171))))</x:f>
      </x:c>
      <x:c r="X171" s="62" t="str">
        <x:f>IF(C171="","",IF(AN171&lt;&gt;1,"",ROUND(((AA171*AB171+AC171*AD171+AE171*AF171)/(AB171+AD171+AF171))+IF((MAX(AA171,AC171,AE171)-(AA171+AC171+AE171-MAX(AA171,AC171,AE171)-MIN(AA171,AC171,AE171)))&lt;'Model &amp; indstillinger'!$E$16,'Model &amp; indstillinger'!$E$18,'Model &amp; indstillinger'!$E$20)*(MAX(AA171,AC171,AE171)-((AA171*AB171+AC171*AD171+AE171*AF171)/(AB171+AD171+AF171))),0)))</x:f>
      </x:c>
      <x:c r="Y171" s="62" t="str">
        <x:f>IF(X171="","",'Model &amp; indstillinger'!$B$4-X171)</x:f>
      </x:c>
      <x:c r="Z171" s="62" t="str">
        <x:f>IF(C171="","",IF(H171="Planlagt","Planlagt – ingen point endnu",IF(H171="Ikke spillet","Ikke spillet – tæller ikke som kamp og giver ingen point",IF(AN171=1,"STÆVNE SLUT – samlet point tilskrives","Frosset pointgrundlag – ingen tilskrivning endnu"))))</x:f>
      </x:c>
      <x:c r="AA171" s="60" t="str">
        <x:f>IF(C171="","",'Model &amp; indstillinger'!$B$6+SUMIFS($U$10:U171,$G$10:G171,"Single"))</x:f>
      </x:c>
      <x:c r="AB171" s="60" t="str">
        <x:f>IF(C171="","",'Model &amp; indstillinger'!$B$7+COUNTIFS($G$10:G171,"Single",$AK$10:AK171,1))</x:f>
      </x:c>
      <x:c r="AC171" s="60" t="str">
        <x:f>IF(C171="","",'Model &amp; indstillinger'!$B$8+SUMIFS($U$10:U171,$G$10:G171,"Double"))</x:f>
      </x:c>
      <x:c r="AD171" s="60" t="str">
        <x:f>IF(C171="","",'Model &amp; indstillinger'!$B$9+COUNTIFS($G$10:G171,"Double",$AK$10:AK171,1))</x:f>
      </x:c>
      <x:c r="AE171" s="60" t="str">
        <x:f>IF(C171="","",'Model &amp; indstillinger'!$B$10+SUMIFS($U$10:U171,$G$10:G171,"Mix"))</x:f>
      </x:c>
      <x:c r="AF171" s="60" t="str">
        <x:f>IF(C171="","",'Model &amp; indstillinger'!$B$11+COUNTIFS($G$10:G171,"Mix",$AK$10:AK171,1))</x:f>
      </x:c>
      <x:c r="AG171" s="60" t="str">
        <x:f>IF(C171="","",IF(C171=C170,AG170,AG170+1))</x:f>
      </x:c>
      <x:c r="AH171" s="60" t="str">
        <x:f>IF(C171="","",IF(AG171=AG170,AH170,AA170))</x:f>
      </x:c>
      <x:c r="AI171" s="60" t="str">
        <x:f>IF(C171="","",IF(AG171=AG170,AI170,AC170))</x:f>
      </x:c>
      <x:c r="AJ171" s="60" t="str">
        <x:f>IF(C171="","",IF(AG171=AG170,AJ170,AE170))</x:f>
      </x:c>
      <x:c r="AK171" s="60" t="n">
        <x:f>IF(OR(H171="Vundet",H171="Tabt"),1,0)</x:f>
        <x:v>0</x:v>
      </x:c>
      <x:c r="AL171" s="60" t="n"/>
      <x:c r="AM171" s="60" t="n">
        <x:f>MAX($AG$10:$AG$209)</x:f>
        <x:v>4</x:v>
      </x:c>
      <x:c r="AN171" s="60" t="str">
        <x:f>IF(C171="","",IF(AND(C172&lt;&gt;"",C172&lt;&gt;C171),1,0))</x:f>
      </x:c>
      <x:c r="AO171" s="60" t="n"/>
      <x:c r="AP171" s="60" t="n">
        <x:f>MAX($AG$10:$AG$209)</x:f>
        <x:v>4</x:v>
      </x:c>
      <x:c r="AQ171" t="str">
        <x:f>AG171</x:f>
      </x:c>
      <x:c r="AR171" t="n">
        <x:f>C171</x:f>
        <x:v>0</x:v>
      </x:c>
      <x:c r="AS171" t="n">
        <x:f>E171</x:f>
        <x:v>0</x:v>
      </x:c>
    </x:row>
    <x:row r="172">
      <x:c r="A172" s="60" t="str">
        <x:f>IF(C172="","",COUNTIF($C$10:C172,"&lt;&gt;"))</x:f>
      </x:c>
      <x:c r="B172" s="122" t="n"/>
      <x:c r="C172" s="87" t="n"/>
      <x:c r="D172" s="87" t="n"/>
      <x:c r="E172" s="87" t="n"/>
      <x:c r="F172" s="87" t="n"/>
      <x:c r="G172" s="87" t="n"/>
      <x:c r="H172" s="87" t="n"/>
      <x:c r="I172" s="87" t="n"/>
      <x:c r="J172" s="87" t="n"/>
      <x:c r="K172" s="87" t="n"/>
      <x:c r="L172" s="87" t="n"/>
      <x:c r="M172" s="87" t="n"/>
      <x:c r="N172" s="87" t="n"/>
      <x:c r="O172" s="62" t="str">
        <x:f>IF(G172="","",IF(G172="Single",AH172,IF(G172="Double",AI172,AJ172)))</x:f>
      </x:c>
      <x:c r="P172" s="62" t="str">
        <x:f>IF(OR(G172="",H172="Ikke spillet"),"",IF(G172="Single",O172,IF(J172="","",(O172+J172)/2)))</x:f>
      </x:c>
      <x:c r="Q172" s="62" t="str">
        <x:f>IF(OR(G172="",H172="Ikke spillet"),"",IF(G172="Single",L172,IF(OR(L172="",N172=""),"",(L172+N172)/2)))</x:f>
      </x:c>
      <x:c r="R172" s="62" t="str">
        <x:f>IF(OR(P172="",Q172=""),"",Q172-P172)</x:f>
      </x:c>
      <x:c r="S172" s="62" t="str">
        <x:f>IF(H172="Ikke spillet","",IF(R172="","",IF(ABS(R172)&lt;0.000001,"Lige (0)",VLOOKUP(ABS(R172),'BD Pointtabel'!$A$4:$G$15,2,TRUE))))</x:f>
      </x:c>
      <x:c r="T172" s="62" t="str">
        <x:f>IF(H172="Ikke spillet","Ikke spillet",IF(H172="Planlagt","Planlagt",IF(OR(H172="",P172="",Q172=""),"",IF(H172="Vundet",IF(R172&gt;0,"Uventet sejr","Ventet sejr"),IF(R172&gt;=0,"Ventet nederlag","Uventet nederlag")))))</x:f>
      </x:c>
      <x:c r="U172" s="62" t="str">
        <x:f>IF(OR(H172="Ikke spillet",H172="Planlagt"),"",IF(OR(G172="",H172="",P172="",Q172=""),"",IF(AND(F172="Ungdomsholdturnering",OR(G172="Double",G172="Mix"),H172="Tabt"),0,IF(H172="Vundet",IF(R172&gt;0,VLOOKUP(ABS(R172),'BD Pointtabel'!$A$4:$G$15,4,TRUE),VLOOKUP(ABS(R172),'BD Pointtabel'!$A$4:$G$15,7,TRUE)),IF(R172&gt;=0,VLOOKUP(ABS(R172),'BD Pointtabel'!$A$4:$G$15,6,TRUE),VLOOKUP(ABS(R172),'BD Pointtabel'!$A$4:$G$15,3,TRUE))))))</x:f>
      </x:c>
      <x:c r="V172" s="62" t="str">
        <x:f>IF(G172="","",SUMIFS($U$10:U172,$AG$10:AG172,AG172,$G$10:G172,G172))</x:f>
      </x:c>
      <x:c r="W172" s="62" t="str">
        <x:f>IF(C172="","",IF(AN172&lt;&gt;1,"",IF(G172="Single",AA172,IF(G172="Double",AC172,AE172))))</x:f>
      </x:c>
      <x:c r="X172" s="62" t="str">
        <x:f>IF(C172="","",IF(AN172&lt;&gt;1,"",ROUND(((AA172*AB172+AC172*AD172+AE172*AF172)/(AB172+AD172+AF172))+IF((MAX(AA172,AC172,AE172)-(AA172+AC172+AE172-MAX(AA172,AC172,AE172)-MIN(AA172,AC172,AE172)))&lt;'Model &amp; indstillinger'!$E$16,'Model &amp; indstillinger'!$E$18,'Model &amp; indstillinger'!$E$20)*(MAX(AA172,AC172,AE172)-((AA172*AB172+AC172*AD172+AE172*AF172)/(AB172+AD172+AF172))),0)))</x:f>
      </x:c>
      <x:c r="Y172" s="62" t="str">
        <x:f>IF(X172="","",'Model &amp; indstillinger'!$B$4-X172)</x:f>
      </x:c>
      <x:c r="Z172" s="62" t="str">
        <x:f>IF(C172="","",IF(H172="Planlagt","Planlagt – ingen point endnu",IF(H172="Ikke spillet","Ikke spillet – tæller ikke som kamp og giver ingen point",IF(AN172=1,"STÆVNE SLUT – samlet point tilskrives","Frosset pointgrundlag – ingen tilskrivning endnu"))))</x:f>
      </x:c>
      <x:c r="AA172" s="60" t="str">
        <x:f>IF(C172="","",'Model &amp; indstillinger'!$B$6+SUMIFS($U$10:U172,$G$10:G172,"Single"))</x:f>
      </x:c>
      <x:c r="AB172" s="60" t="str">
        <x:f>IF(C172="","",'Model &amp; indstillinger'!$B$7+COUNTIFS($G$10:G172,"Single",$AK$10:AK172,1))</x:f>
      </x:c>
      <x:c r="AC172" s="60" t="str">
        <x:f>IF(C172="","",'Model &amp; indstillinger'!$B$8+SUMIFS($U$10:U172,$G$10:G172,"Double"))</x:f>
      </x:c>
      <x:c r="AD172" s="60" t="str">
        <x:f>IF(C172="","",'Model &amp; indstillinger'!$B$9+COUNTIFS($G$10:G172,"Double",$AK$10:AK172,1))</x:f>
      </x:c>
      <x:c r="AE172" s="60" t="str">
        <x:f>IF(C172="","",'Model &amp; indstillinger'!$B$10+SUMIFS($U$10:U172,$G$10:G172,"Mix"))</x:f>
      </x:c>
      <x:c r="AF172" s="60" t="str">
        <x:f>IF(C172="","",'Model &amp; indstillinger'!$B$11+COUNTIFS($G$10:G172,"Mix",$AK$10:AK172,1))</x:f>
      </x:c>
      <x:c r="AG172" s="60" t="str">
        <x:f>IF(C172="","",IF(C172=C171,AG171,AG171+1))</x:f>
      </x:c>
      <x:c r="AH172" s="60" t="str">
        <x:f>IF(C172="","",IF(AG172=AG171,AH171,AA171))</x:f>
      </x:c>
      <x:c r="AI172" s="60" t="str">
        <x:f>IF(C172="","",IF(AG172=AG171,AI171,AC171))</x:f>
      </x:c>
      <x:c r="AJ172" s="60" t="str">
        <x:f>IF(C172="","",IF(AG172=AG171,AJ171,AE171))</x:f>
      </x:c>
      <x:c r="AK172" s="60" t="n">
        <x:f>IF(OR(H172="Vundet",H172="Tabt"),1,0)</x:f>
        <x:v>0</x:v>
      </x:c>
      <x:c r="AL172" s="60" t="n"/>
      <x:c r="AM172" s="60" t="n">
        <x:f>MAX($AG$10:$AG$209)</x:f>
        <x:v>4</x:v>
      </x:c>
      <x:c r="AN172" s="60" t="str">
        <x:f>IF(C172="","",IF(AND(C173&lt;&gt;"",C173&lt;&gt;C172),1,0))</x:f>
      </x:c>
      <x:c r="AO172" s="60" t="n"/>
      <x:c r="AP172" s="60" t="n">
        <x:f>MAX($AG$10:$AG$209)</x:f>
        <x:v>4</x:v>
      </x:c>
      <x:c r="AQ172" t="str">
        <x:f>AG172</x:f>
      </x:c>
      <x:c r="AR172" t="n">
        <x:f>C172</x:f>
        <x:v>0</x:v>
      </x:c>
      <x:c r="AS172" t="n">
        <x:f>E172</x:f>
        <x:v>0</x:v>
      </x:c>
    </x:row>
    <x:row r="173">
      <x:c r="A173" s="60" t="str">
        <x:f>IF(C173="","",COUNTIF($C$10:C173,"&lt;&gt;"))</x:f>
      </x:c>
      <x:c r="B173" s="122" t="n"/>
      <x:c r="C173" s="87" t="n"/>
      <x:c r="D173" s="87" t="n"/>
      <x:c r="E173" s="87" t="n"/>
      <x:c r="F173" s="87" t="n"/>
      <x:c r="G173" s="87" t="n"/>
      <x:c r="H173" s="87" t="n"/>
      <x:c r="I173" s="87" t="n"/>
      <x:c r="J173" s="87" t="n"/>
      <x:c r="K173" s="87" t="n"/>
      <x:c r="L173" s="87" t="n"/>
      <x:c r="M173" s="87" t="n"/>
      <x:c r="N173" s="87" t="n"/>
      <x:c r="O173" s="62" t="str">
        <x:f>IF(G173="","",IF(G173="Single",AH173,IF(G173="Double",AI173,AJ173)))</x:f>
      </x:c>
      <x:c r="P173" s="62" t="str">
        <x:f>IF(OR(G173="",H173="Ikke spillet"),"",IF(G173="Single",O173,IF(J173="","",(O173+J173)/2)))</x:f>
      </x:c>
      <x:c r="Q173" s="62" t="str">
        <x:f>IF(OR(G173="",H173="Ikke spillet"),"",IF(G173="Single",L173,IF(OR(L173="",N173=""),"",(L173+N173)/2)))</x:f>
      </x:c>
      <x:c r="R173" s="62" t="str">
        <x:f>IF(OR(P173="",Q173=""),"",Q173-P173)</x:f>
      </x:c>
      <x:c r="S173" s="62" t="str">
        <x:f>IF(H173="Ikke spillet","",IF(R173="","",IF(ABS(R173)&lt;0.000001,"Lige (0)",VLOOKUP(ABS(R173),'BD Pointtabel'!$A$4:$G$15,2,TRUE))))</x:f>
      </x:c>
      <x:c r="T173" s="62" t="str">
        <x:f>IF(H173="Ikke spillet","Ikke spillet",IF(H173="Planlagt","Planlagt",IF(OR(H173="",P173="",Q173=""),"",IF(H173="Vundet",IF(R173&gt;0,"Uventet sejr","Ventet sejr"),IF(R173&gt;=0,"Ventet nederlag","Uventet nederlag")))))</x:f>
      </x:c>
      <x:c r="U173" s="62" t="str">
        <x:f>IF(OR(H173="Ikke spillet",H173="Planlagt"),"",IF(OR(G173="",H173="",P173="",Q173=""),"",IF(AND(F173="Ungdomsholdturnering",OR(G173="Double",G173="Mix"),H173="Tabt"),0,IF(H173="Vundet",IF(R173&gt;0,VLOOKUP(ABS(R173),'BD Pointtabel'!$A$4:$G$15,4,TRUE),VLOOKUP(ABS(R173),'BD Pointtabel'!$A$4:$G$15,7,TRUE)),IF(R173&gt;=0,VLOOKUP(ABS(R173),'BD Pointtabel'!$A$4:$G$15,6,TRUE),VLOOKUP(ABS(R173),'BD Pointtabel'!$A$4:$G$15,3,TRUE))))))</x:f>
      </x:c>
      <x:c r="V173" s="62" t="str">
        <x:f>IF(G173="","",SUMIFS($U$10:U173,$AG$10:AG173,AG173,$G$10:G173,G173))</x:f>
      </x:c>
      <x:c r="W173" s="62" t="str">
        <x:f>IF(C173="","",IF(AN173&lt;&gt;1,"",IF(G173="Single",AA173,IF(G173="Double",AC173,AE173))))</x:f>
      </x:c>
      <x:c r="X173" s="62" t="str">
        <x:f>IF(C173="","",IF(AN173&lt;&gt;1,"",ROUND(((AA173*AB173+AC173*AD173+AE173*AF173)/(AB173+AD173+AF173))+IF((MAX(AA173,AC173,AE173)-(AA173+AC173+AE173-MAX(AA173,AC173,AE173)-MIN(AA173,AC173,AE173)))&lt;'Model &amp; indstillinger'!$E$16,'Model &amp; indstillinger'!$E$18,'Model &amp; indstillinger'!$E$20)*(MAX(AA173,AC173,AE173)-((AA173*AB173+AC173*AD173+AE173*AF173)/(AB173+AD173+AF173))),0)))</x:f>
      </x:c>
      <x:c r="Y173" s="62" t="str">
        <x:f>IF(X173="","",'Model &amp; indstillinger'!$B$4-X173)</x:f>
      </x:c>
      <x:c r="Z173" s="62" t="str">
        <x:f>IF(C173="","",IF(H173="Planlagt","Planlagt – ingen point endnu",IF(H173="Ikke spillet","Ikke spillet – tæller ikke som kamp og giver ingen point",IF(AN173=1,"STÆVNE SLUT – samlet point tilskrives","Frosset pointgrundlag – ingen tilskrivning endnu"))))</x:f>
      </x:c>
      <x:c r="AA173" s="60" t="str">
        <x:f>IF(C173="","",'Model &amp; indstillinger'!$B$6+SUMIFS($U$10:U173,$G$10:G173,"Single"))</x:f>
      </x:c>
      <x:c r="AB173" s="60" t="str">
        <x:f>IF(C173="","",'Model &amp; indstillinger'!$B$7+COUNTIFS($G$10:G173,"Single",$AK$10:AK173,1))</x:f>
      </x:c>
      <x:c r="AC173" s="60" t="str">
        <x:f>IF(C173="","",'Model &amp; indstillinger'!$B$8+SUMIFS($U$10:U173,$G$10:G173,"Double"))</x:f>
      </x:c>
      <x:c r="AD173" s="60" t="str">
        <x:f>IF(C173="","",'Model &amp; indstillinger'!$B$9+COUNTIFS($G$10:G173,"Double",$AK$10:AK173,1))</x:f>
      </x:c>
      <x:c r="AE173" s="60" t="str">
        <x:f>IF(C173="","",'Model &amp; indstillinger'!$B$10+SUMIFS($U$10:U173,$G$10:G173,"Mix"))</x:f>
      </x:c>
      <x:c r="AF173" s="60" t="str">
        <x:f>IF(C173="","",'Model &amp; indstillinger'!$B$11+COUNTIFS($G$10:G173,"Mix",$AK$10:AK173,1))</x:f>
      </x:c>
      <x:c r="AG173" s="60" t="str">
        <x:f>IF(C173="","",IF(C173=C172,AG172,AG172+1))</x:f>
      </x:c>
      <x:c r="AH173" s="60" t="str">
        <x:f>IF(C173="","",IF(AG173=AG172,AH172,AA172))</x:f>
      </x:c>
      <x:c r="AI173" s="60" t="str">
        <x:f>IF(C173="","",IF(AG173=AG172,AI172,AC172))</x:f>
      </x:c>
      <x:c r="AJ173" s="60" t="str">
        <x:f>IF(C173="","",IF(AG173=AG172,AJ172,AE172))</x:f>
      </x:c>
      <x:c r="AK173" s="60" t="n">
        <x:f>IF(OR(H173="Vundet",H173="Tabt"),1,0)</x:f>
        <x:v>0</x:v>
      </x:c>
      <x:c r="AL173" s="60" t="n"/>
      <x:c r="AM173" s="60" t="n">
        <x:f>MAX($AG$10:$AG$209)</x:f>
        <x:v>4</x:v>
      </x:c>
      <x:c r="AN173" s="60" t="str">
        <x:f>IF(C173="","",IF(AND(C174&lt;&gt;"",C174&lt;&gt;C173),1,0))</x:f>
      </x:c>
      <x:c r="AO173" s="60" t="n"/>
      <x:c r="AP173" s="60" t="n">
        <x:f>MAX($AG$10:$AG$209)</x:f>
        <x:v>4</x:v>
      </x:c>
      <x:c r="AQ173" t="str">
        <x:f>AG173</x:f>
      </x:c>
      <x:c r="AR173" t="n">
        <x:f>C173</x:f>
        <x:v>0</x:v>
      </x:c>
      <x:c r="AS173" t="n">
        <x:f>E173</x:f>
        <x:v>0</x:v>
      </x:c>
    </x:row>
    <x:row r="174">
      <x:c r="A174" s="60" t="str">
        <x:f>IF(C174="","",COUNTIF($C$10:C174,"&lt;&gt;"))</x:f>
      </x:c>
      <x:c r="B174" s="122" t="n"/>
      <x:c r="C174" s="87" t="n"/>
      <x:c r="D174" s="87" t="n"/>
      <x:c r="E174" s="87" t="n"/>
      <x:c r="F174" s="87" t="n"/>
      <x:c r="G174" s="87" t="n"/>
      <x:c r="H174" s="87" t="n"/>
      <x:c r="I174" s="87" t="n"/>
      <x:c r="J174" s="87" t="n"/>
      <x:c r="K174" s="87" t="n"/>
      <x:c r="L174" s="87" t="n"/>
      <x:c r="M174" s="87" t="n"/>
      <x:c r="N174" s="87" t="n"/>
      <x:c r="O174" s="62" t="str">
        <x:f>IF(G174="","",IF(G174="Single",AH174,IF(G174="Double",AI174,AJ174)))</x:f>
      </x:c>
      <x:c r="P174" s="62" t="str">
        <x:f>IF(OR(G174="",H174="Ikke spillet"),"",IF(G174="Single",O174,IF(J174="","",(O174+J174)/2)))</x:f>
      </x:c>
      <x:c r="Q174" s="62" t="str">
        <x:f>IF(OR(G174="",H174="Ikke spillet"),"",IF(G174="Single",L174,IF(OR(L174="",N174=""),"",(L174+N174)/2)))</x:f>
      </x:c>
      <x:c r="R174" s="62" t="str">
        <x:f>IF(OR(P174="",Q174=""),"",Q174-P174)</x:f>
      </x:c>
      <x:c r="S174" s="62" t="str">
        <x:f>IF(H174="Ikke spillet","",IF(R174="","",IF(ABS(R174)&lt;0.000001,"Lige (0)",VLOOKUP(ABS(R174),'BD Pointtabel'!$A$4:$G$15,2,TRUE))))</x:f>
      </x:c>
      <x:c r="T174" s="62" t="str">
        <x:f>IF(H174="Ikke spillet","Ikke spillet",IF(H174="Planlagt","Planlagt",IF(OR(H174="",P174="",Q174=""),"",IF(H174="Vundet",IF(R174&gt;0,"Uventet sejr","Ventet sejr"),IF(R174&gt;=0,"Ventet nederlag","Uventet nederlag")))))</x:f>
      </x:c>
      <x:c r="U174" s="62" t="str">
        <x:f>IF(OR(H174="Ikke spillet",H174="Planlagt"),"",IF(OR(G174="",H174="",P174="",Q174=""),"",IF(AND(F174="Ungdomsholdturnering",OR(G174="Double",G174="Mix"),H174="Tabt"),0,IF(H174="Vundet",IF(R174&gt;0,VLOOKUP(ABS(R174),'BD Pointtabel'!$A$4:$G$15,4,TRUE),VLOOKUP(ABS(R174),'BD Pointtabel'!$A$4:$G$15,7,TRUE)),IF(R174&gt;=0,VLOOKUP(ABS(R174),'BD Pointtabel'!$A$4:$G$15,6,TRUE),VLOOKUP(ABS(R174),'BD Pointtabel'!$A$4:$G$15,3,TRUE))))))</x:f>
      </x:c>
      <x:c r="V174" s="62" t="str">
        <x:f>IF(G174="","",SUMIFS($U$10:U174,$AG$10:AG174,AG174,$G$10:G174,G174))</x:f>
      </x:c>
      <x:c r="W174" s="62" t="str">
        <x:f>IF(C174="","",IF(AN174&lt;&gt;1,"",IF(G174="Single",AA174,IF(G174="Double",AC174,AE174))))</x:f>
      </x:c>
      <x:c r="X174" s="62" t="str">
        <x:f>IF(C174="","",IF(AN174&lt;&gt;1,"",ROUND(((AA174*AB174+AC174*AD174+AE174*AF174)/(AB174+AD174+AF174))+IF((MAX(AA174,AC174,AE174)-(AA174+AC174+AE174-MAX(AA174,AC174,AE174)-MIN(AA174,AC174,AE174)))&lt;'Model &amp; indstillinger'!$E$16,'Model &amp; indstillinger'!$E$18,'Model &amp; indstillinger'!$E$20)*(MAX(AA174,AC174,AE174)-((AA174*AB174+AC174*AD174+AE174*AF174)/(AB174+AD174+AF174))),0)))</x:f>
      </x:c>
      <x:c r="Y174" s="62" t="str">
        <x:f>IF(X174="","",'Model &amp; indstillinger'!$B$4-X174)</x:f>
      </x:c>
      <x:c r="Z174" s="62" t="str">
        <x:f>IF(C174="","",IF(H174="Planlagt","Planlagt – ingen point endnu",IF(H174="Ikke spillet","Ikke spillet – tæller ikke som kamp og giver ingen point",IF(AN174=1,"STÆVNE SLUT – samlet point tilskrives","Frosset pointgrundlag – ingen tilskrivning endnu"))))</x:f>
      </x:c>
      <x:c r="AA174" s="60" t="str">
        <x:f>IF(C174="","",'Model &amp; indstillinger'!$B$6+SUMIFS($U$10:U174,$G$10:G174,"Single"))</x:f>
      </x:c>
      <x:c r="AB174" s="60" t="str">
        <x:f>IF(C174="","",'Model &amp; indstillinger'!$B$7+COUNTIFS($G$10:G174,"Single",$AK$10:AK174,1))</x:f>
      </x:c>
      <x:c r="AC174" s="60" t="str">
        <x:f>IF(C174="","",'Model &amp; indstillinger'!$B$8+SUMIFS($U$10:U174,$G$10:G174,"Double"))</x:f>
      </x:c>
      <x:c r="AD174" s="60" t="str">
        <x:f>IF(C174="","",'Model &amp; indstillinger'!$B$9+COUNTIFS($G$10:G174,"Double",$AK$10:AK174,1))</x:f>
      </x:c>
      <x:c r="AE174" s="60" t="str">
        <x:f>IF(C174="","",'Model &amp; indstillinger'!$B$10+SUMIFS($U$10:U174,$G$10:G174,"Mix"))</x:f>
      </x:c>
      <x:c r="AF174" s="60" t="str">
        <x:f>IF(C174="","",'Model &amp; indstillinger'!$B$11+COUNTIFS($G$10:G174,"Mix",$AK$10:AK174,1))</x:f>
      </x:c>
      <x:c r="AG174" s="60" t="str">
        <x:f>IF(C174="","",IF(C174=C173,AG173,AG173+1))</x:f>
      </x:c>
      <x:c r="AH174" s="60" t="str">
        <x:f>IF(C174="","",IF(AG174=AG173,AH173,AA173))</x:f>
      </x:c>
      <x:c r="AI174" s="60" t="str">
        <x:f>IF(C174="","",IF(AG174=AG173,AI173,AC173))</x:f>
      </x:c>
      <x:c r="AJ174" s="60" t="str">
        <x:f>IF(C174="","",IF(AG174=AG173,AJ173,AE173))</x:f>
      </x:c>
      <x:c r="AK174" s="60" t="n">
        <x:f>IF(OR(H174="Vundet",H174="Tabt"),1,0)</x:f>
        <x:v>0</x:v>
      </x:c>
      <x:c r="AL174" s="60" t="n"/>
      <x:c r="AM174" s="60" t="n">
        <x:f>MAX($AG$10:$AG$209)</x:f>
        <x:v>4</x:v>
      </x:c>
      <x:c r="AN174" s="60" t="str">
        <x:f>IF(C174="","",IF(AND(C175&lt;&gt;"",C175&lt;&gt;C174),1,0))</x:f>
      </x:c>
      <x:c r="AO174" s="60" t="n"/>
      <x:c r="AP174" s="60" t="n">
        <x:f>MAX($AG$10:$AG$209)</x:f>
        <x:v>4</x:v>
      </x:c>
      <x:c r="AQ174" t="str">
        <x:f>AG174</x:f>
      </x:c>
      <x:c r="AR174" t="n">
        <x:f>C174</x:f>
        <x:v>0</x:v>
      </x:c>
      <x:c r="AS174" t="n">
        <x:f>E174</x:f>
        <x:v>0</x:v>
      </x:c>
    </x:row>
    <x:row r="175">
      <x:c r="A175" s="60" t="str">
        <x:f>IF(C175="","",COUNTIF($C$10:C175,"&lt;&gt;"))</x:f>
      </x:c>
      <x:c r="B175" s="122" t="n"/>
      <x:c r="C175" s="87" t="n"/>
      <x:c r="D175" s="87" t="n"/>
      <x:c r="E175" s="87" t="n"/>
      <x:c r="F175" s="87" t="n"/>
      <x:c r="G175" s="87" t="n"/>
      <x:c r="H175" s="87" t="n"/>
      <x:c r="I175" s="87" t="n"/>
      <x:c r="J175" s="87" t="n"/>
      <x:c r="K175" s="87" t="n"/>
      <x:c r="L175" s="87" t="n"/>
      <x:c r="M175" s="87" t="n"/>
      <x:c r="N175" s="87" t="n"/>
      <x:c r="O175" s="62" t="str">
        <x:f>IF(G175="","",IF(G175="Single",AH175,IF(G175="Double",AI175,AJ175)))</x:f>
      </x:c>
      <x:c r="P175" s="62" t="str">
        <x:f>IF(OR(G175="",H175="Ikke spillet"),"",IF(G175="Single",O175,IF(J175="","",(O175+J175)/2)))</x:f>
      </x:c>
      <x:c r="Q175" s="62" t="str">
        <x:f>IF(OR(G175="",H175="Ikke spillet"),"",IF(G175="Single",L175,IF(OR(L175="",N175=""),"",(L175+N175)/2)))</x:f>
      </x:c>
      <x:c r="R175" s="62" t="str">
        <x:f>IF(OR(P175="",Q175=""),"",Q175-P175)</x:f>
      </x:c>
      <x:c r="S175" s="62" t="str">
        <x:f>IF(H175="Ikke spillet","",IF(R175="","",IF(ABS(R175)&lt;0.000001,"Lige (0)",VLOOKUP(ABS(R175),'BD Pointtabel'!$A$4:$G$15,2,TRUE))))</x:f>
      </x:c>
      <x:c r="T175" s="62" t="str">
        <x:f>IF(H175="Ikke spillet","Ikke spillet",IF(H175="Planlagt","Planlagt",IF(OR(H175="",P175="",Q175=""),"",IF(H175="Vundet",IF(R175&gt;0,"Uventet sejr","Ventet sejr"),IF(R175&gt;=0,"Ventet nederlag","Uventet nederlag")))))</x:f>
      </x:c>
      <x:c r="U175" s="62" t="str">
        <x:f>IF(OR(H175="Ikke spillet",H175="Planlagt"),"",IF(OR(G175="",H175="",P175="",Q175=""),"",IF(AND(F175="Ungdomsholdturnering",OR(G175="Double",G175="Mix"),H175="Tabt"),0,IF(H175="Vundet",IF(R175&gt;0,VLOOKUP(ABS(R175),'BD Pointtabel'!$A$4:$G$15,4,TRUE),VLOOKUP(ABS(R175),'BD Pointtabel'!$A$4:$G$15,7,TRUE)),IF(R175&gt;=0,VLOOKUP(ABS(R175),'BD Pointtabel'!$A$4:$G$15,6,TRUE),VLOOKUP(ABS(R175),'BD Pointtabel'!$A$4:$G$15,3,TRUE))))))</x:f>
      </x:c>
      <x:c r="V175" s="62" t="str">
        <x:f>IF(G175="","",SUMIFS($U$10:U175,$AG$10:AG175,AG175,$G$10:G175,G175))</x:f>
      </x:c>
      <x:c r="W175" s="62" t="str">
        <x:f>IF(C175="","",IF(AN175&lt;&gt;1,"",IF(G175="Single",AA175,IF(G175="Double",AC175,AE175))))</x:f>
      </x:c>
      <x:c r="X175" s="62" t="str">
        <x:f>IF(C175="","",IF(AN175&lt;&gt;1,"",ROUND(((AA175*AB175+AC175*AD175+AE175*AF175)/(AB175+AD175+AF175))+IF((MAX(AA175,AC175,AE175)-(AA175+AC175+AE175-MAX(AA175,AC175,AE175)-MIN(AA175,AC175,AE175)))&lt;'Model &amp; indstillinger'!$E$16,'Model &amp; indstillinger'!$E$18,'Model &amp; indstillinger'!$E$20)*(MAX(AA175,AC175,AE175)-((AA175*AB175+AC175*AD175+AE175*AF175)/(AB175+AD175+AF175))),0)))</x:f>
      </x:c>
      <x:c r="Y175" s="62" t="str">
        <x:f>IF(X175="","",'Model &amp; indstillinger'!$B$4-X175)</x:f>
      </x:c>
      <x:c r="Z175" s="62" t="str">
        <x:f>IF(C175="","",IF(H175="Planlagt","Planlagt – ingen point endnu",IF(H175="Ikke spillet","Ikke spillet – tæller ikke som kamp og giver ingen point",IF(AN175=1,"STÆVNE SLUT – samlet point tilskrives","Frosset pointgrundlag – ingen tilskrivning endnu"))))</x:f>
      </x:c>
      <x:c r="AA175" s="60" t="str">
        <x:f>IF(C175="","",'Model &amp; indstillinger'!$B$6+SUMIFS($U$10:U175,$G$10:G175,"Single"))</x:f>
      </x:c>
      <x:c r="AB175" s="60" t="str">
        <x:f>IF(C175="","",'Model &amp; indstillinger'!$B$7+COUNTIFS($G$10:G175,"Single",$AK$10:AK175,1))</x:f>
      </x:c>
      <x:c r="AC175" s="60" t="str">
        <x:f>IF(C175="","",'Model &amp; indstillinger'!$B$8+SUMIFS($U$10:U175,$G$10:G175,"Double"))</x:f>
      </x:c>
      <x:c r="AD175" s="60" t="str">
        <x:f>IF(C175="","",'Model &amp; indstillinger'!$B$9+COUNTIFS($G$10:G175,"Double",$AK$10:AK175,1))</x:f>
      </x:c>
      <x:c r="AE175" s="60" t="str">
        <x:f>IF(C175="","",'Model &amp; indstillinger'!$B$10+SUMIFS($U$10:U175,$G$10:G175,"Mix"))</x:f>
      </x:c>
      <x:c r="AF175" s="60" t="str">
        <x:f>IF(C175="","",'Model &amp; indstillinger'!$B$11+COUNTIFS($G$10:G175,"Mix",$AK$10:AK175,1))</x:f>
      </x:c>
      <x:c r="AG175" s="60" t="str">
        <x:f>IF(C175="","",IF(C175=C174,AG174,AG174+1))</x:f>
      </x:c>
      <x:c r="AH175" s="60" t="str">
        <x:f>IF(C175="","",IF(AG175=AG174,AH174,AA174))</x:f>
      </x:c>
      <x:c r="AI175" s="60" t="str">
        <x:f>IF(C175="","",IF(AG175=AG174,AI174,AC174))</x:f>
      </x:c>
      <x:c r="AJ175" s="60" t="str">
        <x:f>IF(C175="","",IF(AG175=AG174,AJ174,AE174))</x:f>
      </x:c>
      <x:c r="AK175" s="60" t="n">
        <x:f>IF(OR(H175="Vundet",H175="Tabt"),1,0)</x:f>
        <x:v>0</x:v>
      </x:c>
      <x:c r="AL175" s="60" t="n"/>
      <x:c r="AM175" s="60" t="n">
        <x:f>MAX($AG$10:$AG$209)</x:f>
        <x:v>4</x:v>
      </x:c>
      <x:c r="AN175" s="60" t="str">
        <x:f>IF(C175="","",IF(AND(C176&lt;&gt;"",C176&lt;&gt;C175),1,0))</x:f>
      </x:c>
      <x:c r="AO175" s="60" t="n"/>
      <x:c r="AP175" s="60" t="n">
        <x:f>MAX($AG$10:$AG$209)</x:f>
        <x:v>4</x:v>
      </x:c>
      <x:c r="AQ175" t="str">
        <x:f>AG175</x:f>
      </x:c>
      <x:c r="AR175" t="n">
        <x:f>C175</x:f>
        <x:v>0</x:v>
      </x:c>
      <x:c r="AS175" t="n">
        <x:f>E175</x:f>
        <x:v>0</x:v>
      </x:c>
    </x:row>
    <x:row r="176">
      <x:c r="A176" s="60" t="str">
        <x:f>IF(C176="","",COUNTIF($C$10:C176,"&lt;&gt;"))</x:f>
      </x:c>
      <x:c r="B176" s="122" t="n"/>
      <x:c r="C176" s="87" t="n"/>
      <x:c r="D176" s="87" t="n"/>
      <x:c r="E176" s="87" t="n"/>
      <x:c r="F176" s="87" t="n"/>
      <x:c r="G176" s="87" t="n"/>
      <x:c r="H176" s="87" t="n"/>
      <x:c r="I176" s="87" t="n"/>
      <x:c r="J176" s="87" t="n"/>
      <x:c r="K176" s="87" t="n"/>
      <x:c r="L176" s="87" t="n"/>
      <x:c r="M176" s="87" t="n"/>
      <x:c r="N176" s="87" t="n"/>
      <x:c r="O176" s="62" t="str">
        <x:f>IF(G176="","",IF(G176="Single",AH176,IF(G176="Double",AI176,AJ176)))</x:f>
      </x:c>
      <x:c r="P176" s="62" t="str">
        <x:f>IF(OR(G176="",H176="Ikke spillet"),"",IF(G176="Single",O176,IF(J176="","",(O176+J176)/2)))</x:f>
      </x:c>
      <x:c r="Q176" s="62" t="str">
        <x:f>IF(OR(G176="",H176="Ikke spillet"),"",IF(G176="Single",L176,IF(OR(L176="",N176=""),"",(L176+N176)/2)))</x:f>
      </x:c>
      <x:c r="R176" s="62" t="str">
        <x:f>IF(OR(P176="",Q176=""),"",Q176-P176)</x:f>
      </x:c>
      <x:c r="S176" s="62" t="str">
        <x:f>IF(H176="Ikke spillet","",IF(R176="","",IF(ABS(R176)&lt;0.000001,"Lige (0)",VLOOKUP(ABS(R176),'BD Pointtabel'!$A$4:$G$15,2,TRUE))))</x:f>
      </x:c>
      <x:c r="T176" s="62" t="str">
        <x:f>IF(H176="Ikke spillet","Ikke spillet",IF(H176="Planlagt","Planlagt",IF(OR(H176="",P176="",Q176=""),"",IF(H176="Vundet",IF(R176&gt;0,"Uventet sejr","Ventet sejr"),IF(R176&gt;=0,"Ventet nederlag","Uventet nederlag")))))</x:f>
      </x:c>
      <x:c r="U176" s="62" t="str">
        <x:f>IF(OR(H176="Ikke spillet",H176="Planlagt"),"",IF(OR(G176="",H176="",P176="",Q176=""),"",IF(AND(F176="Ungdomsholdturnering",OR(G176="Double",G176="Mix"),H176="Tabt"),0,IF(H176="Vundet",IF(R176&gt;0,VLOOKUP(ABS(R176),'BD Pointtabel'!$A$4:$G$15,4,TRUE),VLOOKUP(ABS(R176),'BD Pointtabel'!$A$4:$G$15,7,TRUE)),IF(R176&gt;=0,VLOOKUP(ABS(R176),'BD Pointtabel'!$A$4:$G$15,6,TRUE),VLOOKUP(ABS(R176),'BD Pointtabel'!$A$4:$G$15,3,TRUE))))))</x:f>
      </x:c>
      <x:c r="V176" s="62" t="str">
        <x:f>IF(G176="","",SUMIFS($U$10:U176,$AG$10:AG176,AG176,$G$10:G176,G176))</x:f>
      </x:c>
      <x:c r="W176" s="62" t="str">
        <x:f>IF(C176="","",IF(AN176&lt;&gt;1,"",IF(G176="Single",AA176,IF(G176="Double",AC176,AE176))))</x:f>
      </x:c>
      <x:c r="X176" s="62" t="str">
        <x:f>IF(C176="","",IF(AN176&lt;&gt;1,"",ROUND(((AA176*AB176+AC176*AD176+AE176*AF176)/(AB176+AD176+AF176))+IF((MAX(AA176,AC176,AE176)-(AA176+AC176+AE176-MAX(AA176,AC176,AE176)-MIN(AA176,AC176,AE176)))&lt;'Model &amp; indstillinger'!$E$16,'Model &amp; indstillinger'!$E$18,'Model &amp; indstillinger'!$E$20)*(MAX(AA176,AC176,AE176)-((AA176*AB176+AC176*AD176+AE176*AF176)/(AB176+AD176+AF176))),0)))</x:f>
      </x:c>
      <x:c r="Y176" s="62" t="str">
        <x:f>IF(X176="","",'Model &amp; indstillinger'!$B$4-X176)</x:f>
      </x:c>
      <x:c r="Z176" s="62" t="str">
        <x:f>IF(C176="","",IF(H176="Planlagt","Planlagt – ingen point endnu",IF(H176="Ikke spillet","Ikke spillet – tæller ikke som kamp og giver ingen point",IF(AN176=1,"STÆVNE SLUT – samlet point tilskrives","Frosset pointgrundlag – ingen tilskrivning endnu"))))</x:f>
      </x:c>
      <x:c r="AA176" s="60" t="str">
        <x:f>IF(C176="","",'Model &amp; indstillinger'!$B$6+SUMIFS($U$10:U176,$G$10:G176,"Single"))</x:f>
      </x:c>
      <x:c r="AB176" s="60" t="str">
        <x:f>IF(C176="","",'Model &amp; indstillinger'!$B$7+COUNTIFS($G$10:G176,"Single",$AK$10:AK176,1))</x:f>
      </x:c>
      <x:c r="AC176" s="60" t="str">
        <x:f>IF(C176="","",'Model &amp; indstillinger'!$B$8+SUMIFS($U$10:U176,$G$10:G176,"Double"))</x:f>
      </x:c>
      <x:c r="AD176" s="60" t="str">
        <x:f>IF(C176="","",'Model &amp; indstillinger'!$B$9+COUNTIFS($G$10:G176,"Double",$AK$10:AK176,1))</x:f>
      </x:c>
      <x:c r="AE176" s="60" t="str">
        <x:f>IF(C176="","",'Model &amp; indstillinger'!$B$10+SUMIFS($U$10:U176,$G$10:G176,"Mix"))</x:f>
      </x:c>
      <x:c r="AF176" s="60" t="str">
        <x:f>IF(C176="","",'Model &amp; indstillinger'!$B$11+COUNTIFS($G$10:G176,"Mix",$AK$10:AK176,1))</x:f>
      </x:c>
      <x:c r="AG176" s="60" t="str">
        <x:f>IF(C176="","",IF(C176=C175,AG175,AG175+1))</x:f>
      </x:c>
      <x:c r="AH176" s="60" t="str">
        <x:f>IF(C176="","",IF(AG176=AG175,AH175,AA175))</x:f>
      </x:c>
      <x:c r="AI176" s="60" t="str">
        <x:f>IF(C176="","",IF(AG176=AG175,AI175,AC175))</x:f>
      </x:c>
      <x:c r="AJ176" s="60" t="str">
        <x:f>IF(C176="","",IF(AG176=AG175,AJ175,AE175))</x:f>
      </x:c>
      <x:c r="AK176" s="60" t="n">
        <x:f>IF(OR(H176="Vundet",H176="Tabt"),1,0)</x:f>
        <x:v>0</x:v>
      </x:c>
      <x:c r="AL176" s="60" t="n"/>
      <x:c r="AM176" s="60" t="n">
        <x:f>MAX($AG$10:$AG$209)</x:f>
        <x:v>4</x:v>
      </x:c>
      <x:c r="AN176" s="60" t="str">
        <x:f>IF(C176="","",IF(AND(C177&lt;&gt;"",C177&lt;&gt;C176),1,0))</x:f>
      </x:c>
      <x:c r="AO176" s="60" t="n"/>
      <x:c r="AP176" s="60" t="n">
        <x:f>MAX($AG$10:$AG$209)</x:f>
        <x:v>4</x:v>
      </x:c>
      <x:c r="AQ176" t="str">
        <x:f>AG176</x:f>
      </x:c>
      <x:c r="AR176" t="n">
        <x:f>C176</x:f>
        <x:v>0</x:v>
      </x:c>
      <x:c r="AS176" t="n">
        <x:f>E176</x:f>
        <x:v>0</x:v>
      </x:c>
    </x:row>
    <x:row r="177">
      <x:c r="A177" s="60" t="str">
        <x:f>IF(C177="","",COUNTIF($C$10:C177,"&lt;&gt;"))</x:f>
      </x:c>
      <x:c r="B177" s="122" t="n"/>
      <x:c r="C177" s="87" t="n"/>
      <x:c r="D177" s="87" t="n"/>
      <x:c r="E177" s="87" t="n"/>
      <x:c r="F177" s="87" t="n"/>
      <x:c r="G177" s="87" t="n"/>
      <x:c r="H177" s="87" t="n"/>
      <x:c r="I177" s="87" t="n"/>
      <x:c r="J177" s="87" t="n"/>
      <x:c r="K177" s="87" t="n"/>
      <x:c r="L177" s="87" t="n"/>
      <x:c r="M177" s="87" t="n"/>
      <x:c r="N177" s="87" t="n"/>
      <x:c r="O177" s="62" t="str">
        <x:f>IF(G177="","",IF(G177="Single",AH177,IF(G177="Double",AI177,AJ177)))</x:f>
      </x:c>
      <x:c r="P177" s="62" t="str">
        <x:f>IF(OR(G177="",H177="Ikke spillet"),"",IF(G177="Single",O177,IF(J177="","",(O177+J177)/2)))</x:f>
      </x:c>
      <x:c r="Q177" s="62" t="str">
        <x:f>IF(OR(G177="",H177="Ikke spillet"),"",IF(G177="Single",L177,IF(OR(L177="",N177=""),"",(L177+N177)/2)))</x:f>
      </x:c>
      <x:c r="R177" s="62" t="str">
        <x:f>IF(OR(P177="",Q177=""),"",Q177-P177)</x:f>
      </x:c>
      <x:c r="S177" s="62" t="str">
        <x:f>IF(H177="Ikke spillet","",IF(R177="","",IF(ABS(R177)&lt;0.000001,"Lige (0)",VLOOKUP(ABS(R177),'BD Pointtabel'!$A$4:$G$15,2,TRUE))))</x:f>
      </x:c>
      <x:c r="T177" s="62" t="str">
        <x:f>IF(H177="Ikke spillet","Ikke spillet",IF(H177="Planlagt","Planlagt",IF(OR(H177="",P177="",Q177=""),"",IF(H177="Vundet",IF(R177&gt;0,"Uventet sejr","Ventet sejr"),IF(R177&gt;=0,"Ventet nederlag","Uventet nederlag")))))</x:f>
      </x:c>
      <x:c r="U177" s="62" t="str">
        <x:f>IF(OR(H177="Ikke spillet",H177="Planlagt"),"",IF(OR(G177="",H177="",P177="",Q177=""),"",IF(AND(F177="Ungdomsholdturnering",OR(G177="Double",G177="Mix"),H177="Tabt"),0,IF(H177="Vundet",IF(R177&gt;0,VLOOKUP(ABS(R177),'BD Pointtabel'!$A$4:$G$15,4,TRUE),VLOOKUP(ABS(R177),'BD Pointtabel'!$A$4:$G$15,7,TRUE)),IF(R177&gt;=0,VLOOKUP(ABS(R177),'BD Pointtabel'!$A$4:$G$15,6,TRUE),VLOOKUP(ABS(R177),'BD Pointtabel'!$A$4:$G$15,3,TRUE))))))</x:f>
      </x:c>
      <x:c r="V177" s="62" t="str">
        <x:f>IF(G177="","",SUMIFS($U$10:U177,$AG$10:AG177,AG177,$G$10:G177,G177))</x:f>
      </x:c>
      <x:c r="W177" s="62" t="str">
        <x:f>IF(C177="","",IF(AN177&lt;&gt;1,"",IF(G177="Single",AA177,IF(G177="Double",AC177,AE177))))</x:f>
      </x:c>
      <x:c r="X177" s="62" t="str">
        <x:f>IF(C177="","",IF(AN177&lt;&gt;1,"",ROUND(((AA177*AB177+AC177*AD177+AE177*AF177)/(AB177+AD177+AF177))+IF((MAX(AA177,AC177,AE177)-(AA177+AC177+AE177-MAX(AA177,AC177,AE177)-MIN(AA177,AC177,AE177)))&lt;'Model &amp; indstillinger'!$E$16,'Model &amp; indstillinger'!$E$18,'Model &amp; indstillinger'!$E$20)*(MAX(AA177,AC177,AE177)-((AA177*AB177+AC177*AD177+AE177*AF177)/(AB177+AD177+AF177))),0)))</x:f>
      </x:c>
      <x:c r="Y177" s="62" t="str">
        <x:f>IF(X177="","",'Model &amp; indstillinger'!$B$4-X177)</x:f>
      </x:c>
      <x:c r="Z177" s="62" t="str">
        <x:f>IF(C177="","",IF(H177="Planlagt","Planlagt – ingen point endnu",IF(H177="Ikke spillet","Ikke spillet – tæller ikke som kamp og giver ingen point",IF(AN177=1,"STÆVNE SLUT – samlet point tilskrives","Frosset pointgrundlag – ingen tilskrivning endnu"))))</x:f>
      </x:c>
      <x:c r="AA177" s="60" t="str">
        <x:f>IF(C177="","",'Model &amp; indstillinger'!$B$6+SUMIFS($U$10:U177,$G$10:G177,"Single"))</x:f>
      </x:c>
      <x:c r="AB177" s="60" t="str">
        <x:f>IF(C177="","",'Model &amp; indstillinger'!$B$7+COUNTIFS($G$10:G177,"Single",$AK$10:AK177,1))</x:f>
      </x:c>
      <x:c r="AC177" s="60" t="str">
        <x:f>IF(C177="","",'Model &amp; indstillinger'!$B$8+SUMIFS($U$10:U177,$G$10:G177,"Double"))</x:f>
      </x:c>
      <x:c r="AD177" s="60" t="str">
        <x:f>IF(C177="","",'Model &amp; indstillinger'!$B$9+COUNTIFS($G$10:G177,"Double",$AK$10:AK177,1))</x:f>
      </x:c>
      <x:c r="AE177" s="60" t="str">
        <x:f>IF(C177="","",'Model &amp; indstillinger'!$B$10+SUMIFS($U$10:U177,$G$10:G177,"Mix"))</x:f>
      </x:c>
      <x:c r="AF177" s="60" t="str">
        <x:f>IF(C177="","",'Model &amp; indstillinger'!$B$11+COUNTIFS($G$10:G177,"Mix",$AK$10:AK177,1))</x:f>
      </x:c>
      <x:c r="AG177" s="60" t="str">
        <x:f>IF(C177="","",IF(C177=C176,AG176,AG176+1))</x:f>
      </x:c>
      <x:c r="AH177" s="60" t="str">
        <x:f>IF(C177="","",IF(AG177=AG176,AH176,AA176))</x:f>
      </x:c>
      <x:c r="AI177" s="60" t="str">
        <x:f>IF(C177="","",IF(AG177=AG176,AI176,AC176))</x:f>
      </x:c>
      <x:c r="AJ177" s="60" t="str">
        <x:f>IF(C177="","",IF(AG177=AG176,AJ176,AE176))</x:f>
      </x:c>
      <x:c r="AK177" s="60" t="n">
        <x:f>IF(OR(H177="Vundet",H177="Tabt"),1,0)</x:f>
        <x:v>0</x:v>
      </x:c>
      <x:c r="AL177" s="60" t="n"/>
      <x:c r="AM177" s="60" t="n">
        <x:f>MAX($AG$10:$AG$209)</x:f>
        <x:v>4</x:v>
      </x:c>
      <x:c r="AN177" s="60" t="str">
        <x:f>IF(C177="","",IF(AND(C178&lt;&gt;"",C178&lt;&gt;C177),1,0))</x:f>
      </x:c>
      <x:c r="AO177" s="60" t="n"/>
      <x:c r="AP177" s="60" t="n">
        <x:f>MAX($AG$10:$AG$209)</x:f>
        <x:v>4</x:v>
      </x:c>
      <x:c r="AQ177" t="str">
        <x:f>AG177</x:f>
      </x:c>
      <x:c r="AR177" t="n">
        <x:f>C177</x:f>
        <x:v>0</x:v>
      </x:c>
      <x:c r="AS177" t="n">
        <x:f>E177</x:f>
        <x:v>0</x:v>
      </x:c>
    </x:row>
    <x:row r="178">
      <x:c r="A178" s="60" t="str">
        <x:f>IF(C178="","",COUNTIF($C$10:C178,"&lt;&gt;"))</x:f>
      </x:c>
      <x:c r="B178" s="122" t="n"/>
      <x:c r="C178" s="87" t="n"/>
      <x:c r="D178" s="87" t="n"/>
      <x:c r="E178" s="87" t="n"/>
      <x:c r="F178" s="87" t="n"/>
      <x:c r="G178" s="87" t="n"/>
      <x:c r="H178" s="87" t="n"/>
      <x:c r="I178" s="87" t="n"/>
      <x:c r="J178" s="87" t="n"/>
      <x:c r="K178" s="87" t="n"/>
      <x:c r="L178" s="87" t="n"/>
      <x:c r="M178" s="87" t="n"/>
      <x:c r="N178" s="87" t="n"/>
      <x:c r="O178" s="62" t="str">
        <x:f>IF(G178="","",IF(G178="Single",AH178,IF(G178="Double",AI178,AJ178)))</x:f>
      </x:c>
      <x:c r="P178" s="62" t="str">
        <x:f>IF(OR(G178="",H178="Ikke spillet"),"",IF(G178="Single",O178,IF(J178="","",(O178+J178)/2)))</x:f>
      </x:c>
      <x:c r="Q178" s="62" t="str">
        <x:f>IF(OR(G178="",H178="Ikke spillet"),"",IF(G178="Single",L178,IF(OR(L178="",N178=""),"",(L178+N178)/2)))</x:f>
      </x:c>
      <x:c r="R178" s="62" t="str">
        <x:f>IF(OR(P178="",Q178=""),"",Q178-P178)</x:f>
      </x:c>
      <x:c r="S178" s="62" t="str">
        <x:f>IF(H178="Ikke spillet","",IF(R178="","",IF(ABS(R178)&lt;0.000001,"Lige (0)",VLOOKUP(ABS(R178),'BD Pointtabel'!$A$4:$G$15,2,TRUE))))</x:f>
      </x:c>
      <x:c r="T178" s="62" t="str">
        <x:f>IF(H178="Ikke spillet","Ikke spillet",IF(H178="Planlagt","Planlagt",IF(OR(H178="",P178="",Q178=""),"",IF(H178="Vundet",IF(R178&gt;0,"Uventet sejr","Ventet sejr"),IF(R178&gt;=0,"Ventet nederlag","Uventet nederlag")))))</x:f>
      </x:c>
      <x:c r="U178" s="62" t="str">
        <x:f>IF(OR(H178="Ikke spillet",H178="Planlagt"),"",IF(OR(G178="",H178="",P178="",Q178=""),"",IF(AND(F178="Ungdomsholdturnering",OR(G178="Double",G178="Mix"),H178="Tabt"),0,IF(H178="Vundet",IF(R178&gt;0,VLOOKUP(ABS(R178),'BD Pointtabel'!$A$4:$G$15,4,TRUE),VLOOKUP(ABS(R178),'BD Pointtabel'!$A$4:$G$15,7,TRUE)),IF(R178&gt;=0,VLOOKUP(ABS(R178),'BD Pointtabel'!$A$4:$G$15,6,TRUE),VLOOKUP(ABS(R178),'BD Pointtabel'!$A$4:$G$15,3,TRUE))))))</x:f>
      </x:c>
      <x:c r="V178" s="62" t="str">
        <x:f>IF(G178="","",SUMIFS($U$10:U178,$AG$10:AG178,AG178,$G$10:G178,G178))</x:f>
      </x:c>
      <x:c r="W178" s="62" t="str">
        <x:f>IF(C178="","",IF(AN178&lt;&gt;1,"",IF(G178="Single",AA178,IF(G178="Double",AC178,AE178))))</x:f>
      </x:c>
      <x:c r="X178" s="62" t="str">
        <x:f>IF(C178="","",IF(AN178&lt;&gt;1,"",ROUND(((AA178*AB178+AC178*AD178+AE178*AF178)/(AB178+AD178+AF178))+IF((MAX(AA178,AC178,AE178)-(AA178+AC178+AE178-MAX(AA178,AC178,AE178)-MIN(AA178,AC178,AE178)))&lt;'Model &amp; indstillinger'!$E$16,'Model &amp; indstillinger'!$E$18,'Model &amp; indstillinger'!$E$20)*(MAX(AA178,AC178,AE178)-((AA178*AB178+AC178*AD178+AE178*AF178)/(AB178+AD178+AF178))),0)))</x:f>
      </x:c>
      <x:c r="Y178" s="62" t="str">
        <x:f>IF(X178="","",'Model &amp; indstillinger'!$B$4-X178)</x:f>
      </x:c>
      <x:c r="Z178" s="62" t="str">
        <x:f>IF(C178="","",IF(H178="Planlagt","Planlagt – ingen point endnu",IF(H178="Ikke spillet","Ikke spillet – tæller ikke som kamp og giver ingen point",IF(AN178=1,"STÆVNE SLUT – samlet point tilskrives","Frosset pointgrundlag – ingen tilskrivning endnu"))))</x:f>
      </x:c>
      <x:c r="AA178" s="60" t="str">
        <x:f>IF(C178="","",'Model &amp; indstillinger'!$B$6+SUMIFS($U$10:U178,$G$10:G178,"Single"))</x:f>
      </x:c>
      <x:c r="AB178" s="60" t="str">
        <x:f>IF(C178="","",'Model &amp; indstillinger'!$B$7+COUNTIFS($G$10:G178,"Single",$AK$10:AK178,1))</x:f>
      </x:c>
      <x:c r="AC178" s="60" t="str">
        <x:f>IF(C178="","",'Model &amp; indstillinger'!$B$8+SUMIFS($U$10:U178,$G$10:G178,"Double"))</x:f>
      </x:c>
      <x:c r="AD178" s="60" t="str">
        <x:f>IF(C178="","",'Model &amp; indstillinger'!$B$9+COUNTIFS($G$10:G178,"Double",$AK$10:AK178,1))</x:f>
      </x:c>
      <x:c r="AE178" s="60" t="str">
        <x:f>IF(C178="","",'Model &amp; indstillinger'!$B$10+SUMIFS($U$10:U178,$G$10:G178,"Mix"))</x:f>
      </x:c>
      <x:c r="AF178" s="60" t="str">
        <x:f>IF(C178="","",'Model &amp; indstillinger'!$B$11+COUNTIFS($G$10:G178,"Mix",$AK$10:AK178,1))</x:f>
      </x:c>
      <x:c r="AG178" s="60" t="str">
        <x:f>IF(C178="","",IF(C178=C177,AG177,AG177+1))</x:f>
      </x:c>
      <x:c r="AH178" s="60" t="str">
        <x:f>IF(C178="","",IF(AG178=AG177,AH177,AA177))</x:f>
      </x:c>
      <x:c r="AI178" s="60" t="str">
        <x:f>IF(C178="","",IF(AG178=AG177,AI177,AC177))</x:f>
      </x:c>
      <x:c r="AJ178" s="60" t="str">
        <x:f>IF(C178="","",IF(AG178=AG177,AJ177,AE177))</x:f>
      </x:c>
      <x:c r="AK178" s="60" t="n">
        <x:f>IF(OR(H178="Vundet",H178="Tabt"),1,0)</x:f>
        <x:v>0</x:v>
      </x:c>
      <x:c r="AL178" s="60" t="n"/>
      <x:c r="AM178" s="60" t="n">
        <x:f>MAX($AG$10:$AG$209)</x:f>
        <x:v>4</x:v>
      </x:c>
      <x:c r="AN178" s="60" t="str">
        <x:f>IF(C178="","",IF(AND(C179&lt;&gt;"",C179&lt;&gt;C178),1,0))</x:f>
      </x:c>
      <x:c r="AO178" s="60" t="n"/>
      <x:c r="AP178" s="60" t="n">
        <x:f>MAX($AG$10:$AG$209)</x:f>
        <x:v>4</x:v>
      </x:c>
      <x:c r="AQ178" t="str">
        <x:f>AG178</x:f>
      </x:c>
      <x:c r="AR178" t="n">
        <x:f>C178</x:f>
        <x:v>0</x:v>
      </x:c>
      <x:c r="AS178" t="n">
        <x:f>E178</x:f>
        <x:v>0</x:v>
      </x:c>
    </x:row>
    <x:row r="179">
      <x:c r="A179" s="60" t="str">
        <x:f>IF(C179="","",COUNTIF($C$10:C179,"&lt;&gt;"))</x:f>
      </x:c>
      <x:c r="B179" s="122" t="n"/>
      <x:c r="C179" s="87" t="n"/>
      <x:c r="D179" s="87" t="n"/>
      <x:c r="E179" s="87" t="n"/>
      <x:c r="F179" s="87" t="n"/>
      <x:c r="G179" s="87" t="n"/>
      <x:c r="H179" s="87" t="n"/>
      <x:c r="I179" s="87" t="n"/>
      <x:c r="J179" s="87" t="n"/>
      <x:c r="K179" s="87" t="n"/>
      <x:c r="L179" s="87" t="n"/>
      <x:c r="M179" s="87" t="n"/>
      <x:c r="N179" s="87" t="n"/>
      <x:c r="O179" s="62" t="str">
        <x:f>IF(G179="","",IF(G179="Single",AH179,IF(G179="Double",AI179,AJ179)))</x:f>
      </x:c>
      <x:c r="P179" s="62" t="str">
        <x:f>IF(OR(G179="",H179="Ikke spillet"),"",IF(G179="Single",O179,IF(J179="","",(O179+J179)/2)))</x:f>
      </x:c>
      <x:c r="Q179" s="62" t="str">
        <x:f>IF(OR(G179="",H179="Ikke spillet"),"",IF(G179="Single",L179,IF(OR(L179="",N179=""),"",(L179+N179)/2)))</x:f>
      </x:c>
      <x:c r="R179" s="62" t="str">
        <x:f>IF(OR(P179="",Q179=""),"",Q179-P179)</x:f>
      </x:c>
      <x:c r="S179" s="62" t="str">
        <x:f>IF(H179="Ikke spillet","",IF(R179="","",IF(ABS(R179)&lt;0.000001,"Lige (0)",VLOOKUP(ABS(R179),'BD Pointtabel'!$A$4:$G$15,2,TRUE))))</x:f>
      </x:c>
      <x:c r="T179" s="62" t="str">
        <x:f>IF(H179="Ikke spillet","Ikke spillet",IF(H179="Planlagt","Planlagt",IF(OR(H179="",P179="",Q179=""),"",IF(H179="Vundet",IF(R179&gt;0,"Uventet sejr","Ventet sejr"),IF(R179&gt;=0,"Ventet nederlag","Uventet nederlag")))))</x:f>
      </x:c>
      <x:c r="U179" s="62" t="str">
        <x:f>IF(OR(H179="Ikke spillet",H179="Planlagt"),"",IF(OR(G179="",H179="",P179="",Q179=""),"",IF(AND(F179="Ungdomsholdturnering",OR(G179="Double",G179="Mix"),H179="Tabt"),0,IF(H179="Vundet",IF(R179&gt;0,VLOOKUP(ABS(R179),'BD Pointtabel'!$A$4:$G$15,4,TRUE),VLOOKUP(ABS(R179),'BD Pointtabel'!$A$4:$G$15,7,TRUE)),IF(R179&gt;=0,VLOOKUP(ABS(R179),'BD Pointtabel'!$A$4:$G$15,6,TRUE),VLOOKUP(ABS(R179),'BD Pointtabel'!$A$4:$G$15,3,TRUE))))))</x:f>
      </x:c>
      <x:c r="V179" s="62" t="str">
        <x:f>IF(G179="","",SUMIFS($U$10:U179,$AG$10:AG179,AG179,$G$10:G179,G179))</x:f>
      </x:c>
      <x:c r="W179" s="62" t="str">
        <x:f>IF(C179="","",IF(AN179&lt;&gt;1,"",IF(G179="Single",AA179,IF(G179="Double",AC179,AE179))))</x:f>
      </x:c>
      <x:c r="X179" s="62" t="str">
        <x:f>IF(C179="","",IF(AN179&lt;&gt;1,"",ROUND(((AA179*AB179+AC179*AD179+AE179*AF179)/(AB179+AD179+AF179))+IF((MAX(AA179,AC179,AE179)-(AA179+AC179+AE179-MAX(AA179,AC179,AE179)-MIN(AA179,AC179,AE179)))&lt;'Model &amp; indstillinger'!$E$16,'Model &amp; indstillinger'!$E$18,'Model &amp; indstillinger'!$E$20)*(MAX(AA179,AC179,AE179)-((AA179*AB179+AC179*AD179+AE179*AF179)/(AB179+AD179+AF179))),0)))</x:f>
      </x:c>
      <x:c r="Y179" s="62" t="str">
        <x:f>IF(X179="","",'Model &amp; indstillinger'!$B$4-X179)</x:f>
      </x:c>
      <x:c r="Z179" s="62" t="str">
        <x:f>IF(C179="","",IF(H179="Planlagt","Planlagt – ingen point endnu",IF(H179="Ikke spillet","Ikke spillet – tæller ikke som kamp og giver ingen point",IF(AN179=1,"STÆVNE SLUT – samlet point tilskrives","Frosset pointgrundlag – ingen tilskrivning endnu"))))</x:f>
      </x:c>
      <x:c r="AA179" s="60" t="str">
        <x:f>IF(C179="","",'Model &amp; indstillinger'!$B$6+SUMIFS($U$10:U179,$G$10:G179,"Single"))</x:f>
      </x:c>
      <x:c r="AB179" s="60" t="str">
        <x:f>IF(C179="","",'Model &amp; indstillinger'!$B$7+COUNTIFS($G$10:G179,"Single",$AK$10:AK179,1))</x:f>
      </x:c>
      <x:c r="AC179" s="60" t="str">
        <x:f>IF(C179="","",'Model &amp; indstillinger'!$B$8+SUMIFS($U$10:U179,$G$10:G179,"Double"))</x:f>
      </x:c>
      <x:c r="AD179" s="60" t="str">
        <x:f>IF(C179="","",'Model &amp; indstillinger'!$B$9+COUNTIFS($G$10:G179,"Double",$AK$10:AK179,1))</x:f>
      </x:c>
      <x:c r="AE179" s="60" t="str">
        <x:f>IF(C179="","",'Model &amp; indstillinger'!$B$10+SUMIFS($U$10:U179,$G$10:G179,"Mix"))</x:f>
      </x:c>
      <x:c r="AF179" s="60" t="str">
        <x:f>IF(C179="","",'Model &amp; indstillinger'!$B$11+COUNTIFS($G$10:G179,"Mix",$AK$10:AK179,1))</x:f>
      </x:c>
      <x:c r="AG179" s="60" t="str">
        <x:f>IF(C179="","",IF(C179=C178,AG178,AG178+1))</x:f>
      </x:c>
      <x:c r="AH179" s="60" t="str">
        <x:f>IF(C179="","",IF(AG179=AG178,AH178,AA178))</x:f>
      </x:c>
      <x:c r="AI179" s="60" t="str">
        <x:f>IF(C179="","",IF(AG179=AG178,AI178,AC178))</x:f>
      </x:c>
      <x:c r="AJ179" s="60" t="str">
        <x:f>IF(C179="","",IF(AG179=AG178,AJ178,AE178))</x:f>
      </x:c>
      <x:c r="AK179" s="60" t="n">
        <x:f>IF(OR(H179="Vundet",H179="Tabt"),1,0)</x:f>
        <x:v>0</x:v>
      </x:c>
      <x:c r="AL179" s="60" t="n"/>
      <x:c r="AM179" s="60" t="n">
        <x:f>MAX($AG$10:$AG$209)</x:f>
        <x:v>4</x:v>
      </x:c>
      <x:c r="AN179" s="60" t="str">
        <x:f>IF(C179="","",IF(AND(C180&lt;&gt;"",C180&lt;&gt;C179),1,0))</x:f>
      </x:c>
      <x:c r="AO179" s="60" t="n"/>
      <x:c r="AP179" s="60" t="n">
        <x:f>MAX($AG$10:$AG$209)</x:f>
        <x:v>4</x:v>
      </x:c>
      <x:c r="AQ179" t="str">
        <x:f>AG179</x:f>
      </x:c>
      <x:c r="AR179" t="n">
        <x:f>C179</x:f>
        <x:v>0</x:v>
      </x:c>
      <x:c r="AS179" t="n">
        <x:f>E179</x:f>
        <x:v>0</x:v>
      </x:c>
    </x:row>
    <x:row r="180">
      <x:c r="A180" s="60" t="str">
        <x:f>IF(C180="","",COUNTIF($C$10:C180,"&lt;&gt;"))</x:f>
      </x:c>
      <x:c r="B180" s="122" t="n"/>
      <x:c r="C180" s="87" t="n"/>
      <x:c r="D180" s="87" t="n"/>
      <x:c r="E180" s="87" t="n"/>
      <x:c r="F180" s="87" t="n"/>
      <x:c r="G180" s="87" t="n"/>
      <x:c r="H180" s="87" t="n"/>
      <x:c r="I180" s="87" t="n"/>
      <x:c r="J180" s="87" t="n"/>
      <x:c r="K180" s="87" t="n"/>
      <x:c r="L180" s="87" t="n"/>
      <x:c r="M180" s="87" t="n"/>
      <x:c r="N180" s="87" t="n"/>
      <x:c r="O180" s="62" t="str">
        <x:f>IF(G180="","",IF(G180="Single",AH180,IF(G180="Double",AI180,AJ180)))</x:f>
      </x:c>
      <x:c r="P180" s="62" t="str">
        <x:f>IF(OR(G180="",H180="Ikke spillet"),"",IF(G180="Single",O180,IF(J180="","",(O180+J180)/2)))</x:f>
      </x:c>
      <x:c r="Q180" s="62" t="str">
        <x:f>IF(OR(G180="",H180="Ikke spillet"),"",IF(G180="Single",L180,IF(OR(L180="",N180=""),"",(L180+N180)/2)))</x:f>
      </x:c>
      <x:c r="R180" s="62" t="str">
        <x:f>IF(OR(P180="",Q180=""),"",Q180-P180)</x:f>
      </x:c>
      <x:c r="S180" s="62" t="str">
        <x:f>IF(H180="Ikke spillet","",IF(R180="","",IF(ABS(R180)&lt;0.000001,"Lige (0)",VLOOKUP(ABS(R180),'BD Pointtabel'!$A$4:$G$15,2,TRUE))))</x:f>
      </x:c>
      <x:c r="T180" s="62" t="str">
        <x:f>IF(H180="Ikke spillet","Ikke spillet",IF(H180="Planlagt","Planlagt",IF(OR(H180="",P180="",Q180=""),"",IF(H180="Vundet",IF(R180&gt;0,"Uventet sejr","Ventet sejr"),IF(R180&gt;=0,"Ventet nederlag","Uventet nederlag")))))</x:f>
      </x:c>
      <x:c r="U180" s="62" t="str">
        <x:f>IF(OR(H180="Ikke spillet",H180="Planlagt"),"",IF(OR(G180="",H180="",P180="",Q180=""),"",IF(AND(F180="Ungdomsholdturnering",OR(G180="Double",G180="Mix"),H180="Tabt"),0,IF(H180="Vundet",IF(R180&gt;0,VLOOKUP(ABS(R180),'BD Pointtabel'!$A$4:$G$15,4,TRUE),VLOOKUP(ABS(R180),'BD Pointtabel'!$A$4:$G$15,7,TRUE)),IF(R180&gt;=0,VLOOKUP(ABS(R180),'BD Pointtabel'!$A$4:$G$15,6,TRUE),VLOOKUP(ABS(R180),'BD Pointtabel'!$A$4:$G$15,3,TRUE))))))</x:f>
      </x:c>
      <x:c r="V180" s="62" t="str">
        <x:f>IF(G180="","",SUMIFS($U$10:U180,$AG$10:AG180,AG180,$G$10:G180,G180))</x:f>
      </x:c>
      <x:c r="W180" s="62" t="str">
        <x:f>IF(C180="","",IF(AN180&lt;&gt;1,"",IF(G180="Single",AA180,IF(G180="Double",AC180,AE180))))</x:f>
      </x:c>
      <x:c r="X180" s="62" t="str">
        <x:f>IF(C180="","",IF(AN180&lt;&gt;1,"",ROUND(((AA180*AB180+AC180*AD180+AE180*AF180)/(AB180+AD180+AF180))+IF((MAX(AA180,AC180,AE180)-(AA180+AC180+AE180-MAX(AA180,AC180,AE180)-MIN(AA180,AC180,AE180)))&lt;'Model &amp; indstillinger'!$E$16,'Model &amp; indstillinger'!$E$18,'Model &amp; indstillinger'!$E$20)*(MAX(AA180,AC180,AE180)-((AA180*AB180+AC180*AD180+AE180*AF180)/(AB180+AD180+AF180))),0)))</x:f>
      </x:c>
      <x:c r="Y180" s="62" t="str">
        <x:f>IF(X180="","",'Model &amp; indstillinger'!$B$4-X180)</x:f>
      </x:c>
      <x:c r="Z180" s="62" t="str">
        <x:f>IF(C180="","",IF(H180="Planlagt","Planlagt – ingen point endnu",IF(H180="Ikke spillet","Ikke spillet – tæller ikke som kamp og giver ingen point",IF(AN180=1,"STÆVNE SLUT – samlet point tilskrives","Frosset pointgrundlag – ingen tilskrivning endnu"))))</x:f>
      </x:c>
      <x:c r="AA180" s="60" t="str">
        <x:f>IF(C180="","",'Model &amp; indstillinger'!$B$6+SUMIFS($U$10:U180,$G$10:G180,"Single"))</x:f>
      </x:c>
      <x:c r="AB180" s="60" t="str">
        <x:f>IF(C180="","",'Model &amp; indstillinger'!$B$7+COUNTIFS($G$10:G180,"Single",$AK$10:AK180,1))</x:f>
      </x:c>
      <x:c r="AC180" s="60" t="str">
        <x:f>IF(C180="","",'Model &amp; indstillinger'!$B$8+SUMIFS($U$10:U180,$G$10:G180,"Double"))</x:f>
      </x:c>
      <x:c r="AD180" s="60" t="str">
        <x:f>IF(C180="","",'Model &amp; indstillinger'!$B$9+COUNTIFS($G$10:G180,"Double",$AK$10:AK180,1))</x:f>
      </x:c>
      <x:c r="AE180" s="60" t="str">
        <x:f>IF(C180="","",'Model &amp; indstillinger'!$B$10+SUMIFS($U$10:U180,$G$10:G180,"Mix"))</x:f>
      </x:c>
      <x:c r="AF180" s="60" t="str">
        <x:f>IF(C180="","",'Model &amp; indstillinger'!$B$11+COUNTIFS($G$10:G180,"Mix",$AK$10:AK180,1))</x:f>
      </x:c>
      <x:c r="AG180" s="60" t="str">
        <x:f>IF(C180="","",IF(C180=C179,AG179,AG179+1))</x:f>
      </x:c>
      <x:c r="AH180" s="60" t="str">
        <x:f>IF(C180="","",IF(AG180=AG179,AH179,AA179))</x:f>
      </x:c>
      <x:c r="AI180" s="60" t="str">
        <x:f>IF(C180="","",IF(AG180=AG179,AI179,AC179))</x:f>
      </x:c>
      <x:c r="AJ180" s="60" t="str">
        <x:f>IF(C180="","",IF(AG180=AG179,AJ179,AE179))</x:f>
      </x:c>
      <x:c r="AK180" s="60" t="n">
        <x:f>IF(OR(H180="Vundet",H180="Tabt"),1,0)</x:f>
        <x:v>0</x:v>
      </x:c>
      <x:c r="AL180" s="60" t="n"/>
      <x:c r="AM180" s="60" t="n">
        <x:f>MAX($AG$10:$AG$209)</x:f>
        <x:v>4</x:v>
      </x:c>
      <x:c r="AN180" s="60" t="str">
        <x:f>IF(C180="","",IF(AND(C181&lt;&gt;"",C181&lt;&gt;C180),1,0))</x:f>
      </x:c>
      <x:c r="AO180" s="60" t="n"/>
      <x:c r="AP180" s="60" t="n">
        <x:f>MAX($AG$10:$AG$209)</x:f>
        <x:v>4</x:v>
      </x:c>
      <x:c r="AQ180" t="str">
        <x:f>AG180</x:f>
      </x:c>
      <x:c r="AR180" t="n">
        <x:f>C180</x:f>
        <x:v>0</x:v>
      </x:c>
      <x:c r="AS180" t="n">
        <x:f>E180</x:f>
        <x:v>0</x:v>
      </x:c>
    </x:row>
    <x:row r="181">
      <x:c r="A181" s="60" t="str">
        <x:f>IF(C181="","",COUNTIF($C$10:C181,"&lt;&gt;"))</x:f>
      </x:c>
      <x:c r="B181" s="122" t="n"/>
      <x:c r="C181" s="87" t="n"/>
      <x:c r="D181" s="87" t="n"/>
      <x:c r="E181" s="87" t="n"/>
      <x:c r="F181" s="87" t="n"/>
      <x:c r="G181" s="87" t="n"/>
      <x:c r="H181" s="87" t="n"/>
      <x:c r="I181" s="87" t="n"/>
      <x:c r="J181" s="87" t="n"/>
      <x:c r="K181" s="87" t="n"/>
      <x:c r="L181" s="87" t="n"/>
      <x:c r="M181" s="87" t="n"/>
      <x:c r="N181" s="87" t="n"/>
      <x:c r="O181" s="62" t="str">
        <x:f>IF(G181="","",IF(G181="Single",AH181,IF(G181="Double",AI181,AJ181)))</x:f>
      </x:c>
      <x:c r="P181" s="62" t="str">
        <x:f>IF(OR(G181="",H181="Ikke spillet"),"",IF(G181="Single",O181,IF(J181="","",(O181+J181)/2)))</x:f>
      </x:c>
      <x:c r="Q181" s="62" t="str">
        <x:f>IF(OR(G181="",H181="Ikke spillet"),"",IF(G181="Single",L181,IF(OR(L181="",N181=""),"",(L181+N181)/2)))</x:f>
      </x:c>
      <x:c r="R181" s="62" t="str">
        <x:f>IF(OR(P181="",Q181=""),"",Q181-P181)</x:f>
      </x:c>
      <x:c r="S181" s="62" t="str">
        <x:f>IF(H181="Ikke spillet","",IF(R181="","",IF(ABS(R181)&lt;0.000001,"Lige (0)",VLOOKUP(ABS(R181),'BD Pointtabel'!$A$4:$G$15,2,TRUE))))</x:f>
      </x:c>
      <x:c r="T181" s="62" t="str">
        <x:f>IF(H181="Ikke spillet","Ikke spillet",IF(H181="Planlagt","Planlagt",IF(OR(H181="",P181="",Q181=""),"",IF(H181="Vundet",IF(R181&gt;0,"Uventet sejr","Ventet sejr"),IF(R181&gt;=0,"Ventet nederlag","Uventet nederlag")))))</x:f>
      </x:c>
      <x:c r="U181" s="62" t="str">
        <x:f>IF(OR(H181="Ikke spillet",H181="Planlagt"),"",IF(OR(G181="",H181="",P181="",Q181=""),"",IF(AND(F181="Ungdomsholdturnering",OR(G181="Double",G181="Mix"),H181="Tabt"),0,IF(H181="Vundet",IF(R181&gt;0,VLOOKUP(ABS(R181),'BD Pointtabel'!$A$4:$G$15,4,TRUE),VLOOKUP(ABS(R181),'BD Pointtabel'!$A$4:$G$15,7,TRUE)),IF(R181&gt;=0,VLOOKUP(ABS(R181),'BD Pointtabel'!$A$4:$G$15,6,TRUE),VLOOKUP(ABS(R181),'BD Pointtabel'!$A$4:$G$15,3,TRUE))))))</x:f>
      </x:c>
      <x:c r="V181" s="62" t="str">
        <x:f>IF(G181="","",SUMIFS($U$10:U181,$AG$10:AG181,AG181,$G$10:G181,G181))</x:f>
      </x:c>
      <x:c r="W181" s="62" t="str">
        <x:f>IF(C181="","",IF(AN181&lt;&gt;1,"",IF(G181="Single",AA181,IF(G181="Double",AC181,AE181))))</x:f>
      </x:c>
      <x:c r="X181" s="62" t="str">
        <x:f>IF(C181="","",IF(AN181&lt;&gt;1,"",ROUND(((AA181*AB181+AC181*AD181+AE181*AF181)/(AB181+AD181+AF181))+IF((MAX(AA181,AC181,AE181)-(AA181+AC181+AE181-MAX(AA181,AC181,AE181)-MIN(AA181,AC181,AE181)))&lt;'Model &amp; indstillinger'!$E$16,'Model &amp; indstillinger'!$E$18,'Model &amp; indstillinger'!$E$20)*(MAX(AA181,AC181,AE181)-((AA181*AB181+AC181*AD181+AE181*AF181)/(AB181+AD181+AF181))),0)))</x:f>
      </x:c>
      <x:c r="Y181" s="62" t="str">
        <x:f>IF(X181="","",'Model &amp; indstillinger'!$B$4-X181)</x:f>
      </x:c>
      <x:c r="Z181" s="62" t="str">
        <x:f>IF(C181="","",IF(H181="Planlagt","Planlagt – ingen point endnu",IF(H181="Ikke spillet","Ikke spillet – tæller ikke som kamp og giver ingen point",IF(AN181=1,"STÆVNE SLUT – samlet point tilskrives","Frosset pointgrundlag – ingen tilskrivning endnu"))))</x:f>
      </x:c>
      <x:c r="AA181" s="60" t="str">
        <x:f>IF(C181="","",'Model &amp; indstillinger'!$B$6+SUMIFS($U$10:U181,$G$10:G181,"Single"))</x:f>
      </x:c>
      <x:c r="AB181" s="60" t="str">
        <x:f>IF(C181="","",'Model &amp; indstillinger'!$B$7+COUNTIFS($G$10:G181,"Single",$AK$10:AK181,1))</x:f>
      </x:c>
      <x:c r="AC181" s="60" t="str">
        <x:f>IF(C181="","",'Model &amp; indstillinger'!$B$8+SUMIFS($U$10:U181,$G$10:G181,"Double"))</x:f>
      </x:c>
      <x:c r="AD181" s="60" t="str">
        <x:f>IF(C181="","",'Model &amp; indstillinger'!$B$9+COUNTIFS($G$10:G181,"Double",$AK$10:AK181,1))</x:f>
      </x:c>
      <x:c r="AE181" s="60" t="str">
        <x:f>IF(C181="","",'Model &amp; indstillinger'!$B$10+SUMIFS($U$10:U181,$G$10:G181,"Mix"))</x:f>
      </x:c>
      <x:c r="AF181" s="60" t="str">
        <x:f>IF(C181="","",'Model &amp; indstillinger'!$B$11+COUNTIFS($G$10:G181,"Mix",$AK$10:AK181,1))</x:f>
      </x:c>
      <x:c r="AG181" s="60" t="str">
        <x:f>IF(C181="","",IF(C181=C180,AG180,AG180+1))</x:f>
      </x:c>
      <x:c r="AH181" s="60" t="str">
        <x:f>IF(C181="","",IF(AG181=AG180,AH180,AA180))</x:f>
      </x:c>
      <x:c r="AI181" s="60" t="str">
        <x:f>IF(C181="","",IF(AG181=AG180,AI180,AC180))</x:f>
      </x:c>
      <x:c r="AJ181" s="60" t="str">
        <x:f>IF(C181="","",IF(AG181=AG180,AJ180,AE180))</x:f>
      </x:c>
      <x:c r="AK181" s="60" t="n">
        <x:f>IF(OR(H181="Vundet",H181="Tabt"),1,0)</x:f>
        <x:v>0</x:v>
      </x:c>
      <x:c r="AL181" s="60" t="n"/>
      <x:c r="AM181" s="60" t="n">
        <x:f>MAX($AG$10:$AG$209)</x:f>
        <x:v>4</x:v>
      </x:c>
      <x:c r="AN181" s="60" t="str">
        <x:f>IF(C181="","",IF(AND(C182&lt;&gt;"",C182&lt;&gt;C181),1,0))</x:f>
      </x:c>
      <x:c r="AO181" s="60" t="n"/>
      <x:c r="AP181" s="60" t="n">
        <x:f>MAX($AG$10:$AG$209)</x:f>
        <x:v>4</x:v>
      </x:c>
      <x:c r="AQ181" t="str">
        <x:f>AG181</x:f>
      </x:c>
      <x:c r="AR181" t="n">
        <x:f>C181</x:f>
        <x:v>0</x:v>
      </x:c>
      <x:c r="AS181" t="n">
        <x:f>E181</x:f>
        <x:v>0</x:v>
      </x:c>
    </x:row>
    <x:row r="182">
      <x:c r="A182" s="60" t="str">
        <x:f>IF(C182="","",COUNTIF($C$10:C182,"&lt;&gt;"))</x:f>
      </x:c>
      <x:c r="B182" s="122" t="n"/>
      <x:c r="C182" s="87" t="n"/>
      <x:c r="D182" s="87" t="n"/>
      <x:c r="E182" s="87" t="n"/>
      <x:c r="F182" s="87" t="n"/>
      <x:c r="G182" s="87" t="n"/>
      <x:c r="H182" s="87" t="n"/>
      <x:c r="I182" s="87" t="n"/>
      <x:c r="J182" s="87" t="n"/>
      <x:c r="K182" s="87" t="n"/>
      <x:c r="L182" s="87" t="n"/>
      <x:c r="M182" s="87" t="n"/>
      <x:c r="N182" s="87" t="n"/>
      <x:c r="O182" s="62" t="str">
        <x:f>IF(G182="","",IF(G182="Single",AH182,IF(G182="Double",AI182,AJ182)))</x:f>
      </x:c>
      <x:c r="P182" s="62" t="str">
        <x:f>IF(OR(G182="",H182="Ikke spillet"),"",IF(G182="Single",O182,IF(J182="","",(O182+J182)/2)))</x:f>
      </x:c>
      <x:c r="Q182" s="62" t="str">
        <x:f>IF(OR(G182="",H182="Ikke spillet"),"",IF(G182="Single",L182,IF(OR(L182="",N182=""),"",(L182+N182)/2)))</x:f>
      </x:c>
      <x:c r="R182" s="62" t="str">
        <x:f>IF(OR(P182="",Q182=""),"",Q182-P182)</x:f>
      </x:c>
      <x:c r="S182" s="62" t="str">
        <x:f>IF(H182="Ikke spillet","",IF(R182="","",IF(ABS(R182)&lt;0.000001,"Lige (0)",VLOOKUP(ABS(R182),'BD Pointtabel'!$A$4:$G$15,2,TRUE))))</x:f>
      </x:c>
      <x:c r="T182" s="62" t="str">
        <x:f>IF(H182="Ikke spillet","Ikke spillet",IF(H182="Planlagt","Planlagt",IF(OR(H182="",P182="",Q182=""),"",IF(H182="Vundet",IF(R182&gt;0,"Uventet sejr","Ventet sejr"),IF(R182&gt;=0,"Ventet nederlag","Uventet nederlag")))))</x:f>
      </x:c>
      <x:c r="U182" s="62" t="str">
        <x:f>IF(OR(H182="Ikke spillet",H182="Planlagt"),"",IF(OR(G182="",H182="",P182="",Q182=""),"",IF(AND(F182="Ungdomsholdturnering",OR(G182="Double",G182="Mix"),H182="Tabt"),0,IF(H182="Vundet",IF(R182&gt;0,VLOOKUP(ABS(R182),'BD Pointtabel'!$A$4:$G$15,4,TRUE),VLOOKUP(ABS(R182),'BD Pointtabel'!$A$4:$G$15,7,TRUE)),IF(R182&gt;=0,VLOOKUP(ABS(R182),'BD Pointtabel'!$A$4:$G$15,6,TRUE),VLOOKUP(ABS(R182),'BD Pointtabel'!$A$4:$G$15,3,TRUE))))))</x:f>
      </x:c>
      <x:c r="V182" s="62" t="str">
        <x:f>IF(G182="","",SUMIFS($U$10:U182,$AG$10:AG182,AG182,$G$10:G182,G182))</x:f>
      </x:c>
      <x:c r="W182" s="62" t="str">
        <x:f>IF(C182="","",IF(AN182&lt;&gt;1,"",IF(G182="Single",AA182,IF(G182="Double",AC182,AE182))))</x:f>
      </x:c>
      <x:c r="X182" s="62" t="str">
        <x:f>IF(C182="","",IF(AN182&lt;&gt;1,"",ROUND(((AA182*AB182+AC182*AD182+AE182*AF182)/(AB182+AD182+AF182))+IF((MAX(AA182,AC182,AE182)-(AA182+AC182+AE182-MAX(AA182,AC182,AE182)-MIN(AA182,AC182,AE182)))&lt;'Model &amp; indstillinger'!$E$16,'Model &amp; indstillinger'!$E$18,'Model &amp; indstillinger'!$E$20)*(MAX(AA182,AC182,AE182)-((AA182*AB182+AC182*AD182+AE182*AF182)/(AB182+AD182+AF182))),0)))</x:f>
      </x:c>
      <x:c r="Y182" s="62" t="str">
        <x:f>IF(X182="","",'Model &amp; indstillinger'!$B$4-X182)</x:f>
      </x:c>
      <x:c r="Z182" s="62" t="str">
        <x:f>IF(C182="","",IF(H182="Planlagt","Planlagt – ingen point endnu",IF(H182="Ikke spillet","Ikke spillet – tæller ikke som kamp og giver ingen point",IF(AN182=1,"STÆVNE SLUT – samlet point tilskrives","Frosset pointgrundlag – ingen tilskrivning endnu"))))</x:f>
      </x:c>
      <x:c r="AA182" s="60" t="str">
        <x:f>IF(C182="","",'Model &amp; indstillinger'!$B$6+SUMIFS($U$10:U182,$G$10:G182,"Single"))</x:f>
      </x:c>
      <x:c r="AB182" s="60" t="str">
        <x:f>IF(C182="","",'Model &amp; indstillinger'!$B$7+COUNTIFS($G$10:G182,"Single",$AK$10:AK182,1))</x:f>
      </x:c>
      <x:c r="AC182" s="60" t="str">
        <x:f>IF(C182="","",'Model &amp; indstillinger'!$B$8+SUMIFS($U$10:U182,$G$10:G182,"Double"))</x:f>
      </x:c>
      <x:c r="AD182" s="60" t="str">
        <x:f>IF(C182="","",'Model &amp; indstillinger'!$B$9+COUNTIFS($G$10:G182,"Double",$AK$10:AK182,1))</x:f>
      </x:c>
      <x:c r="AE182" s="60" t="str">
        <x:f>IF(C182="","",'Model &amp; indstillinger'!$B$10+SUMIFS($U$10:U182,$G$10:G182,"Mix"))</x:f>
      </x:c>
      <x:c r="AF182" s="60" t="str">
        <x:f>IF(C182="","",'Model &amp; indstillinger'!$B$11+COUNTIFS($G$10:G182,"Mix",$AK$10:AK182,1))</x:f>
      </x:c>
      <x:c r="AG182" s="60" t="str">
        <x:f>IF(C182="","",IF(C182=C181,AG181,AG181+1))</x:f>
      </x:c>
      <x:c r="AH182" s="60" t="str">
        <x:f>IF(C182="","",IF(AG182=AG181,AH181,AA181))</x:f>
      </x:c>
      <x:c r="AI182" s="60" t="str">
        <x:f>IF(C182="","",IF(AG182=AG181,AI181,AC181))</x:f>
      </x:c>
      <x:c r="AJ182" s="60" t="str">
        <x:f>IF(C182="","",IF(AG182=AG181,AJ181,AE181))</x:f>
      </x:c>
      <x:c r="AK182" s="60" t="n">
        <x:f>IF(OR(H182="Vundet",H182="Tabt"),1,0)</x:f>
        <x:v>0</x:v>
      </x:c>
      <x:c r="AL182" s="60" t="n"/>
      <x:c r="AM182" s="60" t="n">
        <x:f>MAX($AG$10:$AG$209)</x:f>
        <x:v>4</x:v>
      </x:c>
      <x:c r="AN182" s="60" t="str">
        <x:f>IF(C182="","",IF(AND(C183&lt;&gt;"",C183&lt;&gt;C182),1,0))</x:f>
      </x:c>
      <x:c r="AO182" s="60" t="n"/>
      <x:c r="AP182" s="60" t="n">
        <x:f>MAX($AG$10:$AG$209)</x:f>
        <x:v>4</x:v>
      </x:c>
      <x:c r="AQ182" t="str">
        <x:f>AG182</x:f>
      </x:c>
      <x:c r="AR182" t="n">
        <x:f>C182</x:f>
        <x:v>0</x:v>
      </x:c>
      <x:c r="AS182" t="n">
        <x:f>E182</x:f>
        <x:v>0</x:v>
      </x:c>
    </x:row>
    <x:row r="183">
      <x:c r="A183" s="60" t="str">
        <x:f>IF(C183="","",COUNTIF($C$10:C183,"&lt;&gt;"))</x:f>
      </x:c>
      <x:c r="B183" s="122" t="n"/>
      <x:c r="C183" s="87" t="n"/>
      <x:c r="D183" s="87" t="n"/>
      <x:c r="E183" s="87" t="n"/>
      <x:c r="F183" s="87" t="n"/>
      <x:c r="G183" s="87" t="n"/>
      <x:c r="H183" s="87" t="n"/>
      <x:c r="I183" s="87" t="n"/>
      <x:c r="J183" s="87" t="n"/>
      <x:c r="K183" s="87" t="n"/>
      <x:c r="L183" s="87" t="n"/>
      <x:c r="M183" s="87" t="n"/>
      <x:c r="N183" s="87" t="n"/>
      <x:c r="O183" s="62" t="str">
        <x:f>IF(G183="","",IF(G183="Single",AH183,IF(G183="Double",AI183,AJ183)))</x:f>
      </x:c>
      <x:c r="P183" s="62" t="str">
        <x:f>IF(OR(G183="",H183="Ikke spillet"),"",IF(G183="Single",O183,IF(J183="","",(O183+J183)/2)))</x:f>
      </x:c>
      <x:c r="Q183" s="62" t="str">
        <x:f>IF(OR(G183="",H183="Ikke spillet"),"",IF(G183="Single",L183,IF(OR(L183="",N183=""),"",(L183+N183)/2)))</x:f>
      </x:c>
      <x:c r="R183" s="62" t="str">
        <x:f>IF(OR(P183="",Q183=""),"",Q183-P183)</x:f>
      </x:c>
      <x:c r="S183" s="62" t="str">
        <x:f>IF(H183="Ikke spillet","",IF(R183="","",IF(ABS(R183)&lt;0.000001,"Lige (0)",VLOOKUP(ABS(R183),'BD Pointtabel'!$A$4:$G$15,2,TRUE))))</x:f>
      </x:c>
      <x:c r="T183" s="62" t="str">
        <x:f>IF(H183="Ikke spillet","Ikke spillet",IF(H183="Planlagt","Planlagt",IF(OR(H183="",P183="",Q183=""),"",IF(H183="Vundet",IF(R183&gt;0,"Uventet sejr","Ventet sejr"),IF(R183&gt;=0,"Ventet nederlag","Uventet nederlag")))))</x:f>
      </x:c>
      <x:c r="U183" s="62" t="str">
        <x:f>IF(OR(H183="Ikke spillet",H183="Planlagt"),"",IF(OR(G183="",H183="",P183="",Q183=""),"",IF(AND(F183="Ungdomsholdturnering",OR(G183="Double",G183="Mix"),H183="Tabt"),0,IF(H183="Vundet",IF(R183&gt;0,VLOOKUP(ABS(R183),'BD Pointtabel'!$A$4:$G$15,4,TRUE),VLOOKUP(ABS(R183),'BD Pointtabel'!$A$4:$G$15,7,TRUE)),IF(R183&gt;=0,VLOOKUP(ABS(R183),'BD Pointtabel'!$A$4:$G$15,6,TRUE),VLOOKUP(ABS(R183),'BD Pointtabel'!$A$4:$G$15,3,TRUE))))))</x:f>
      </x:c>
      <x:c r="V183" s="62" t="str">
        <x:f>IF(G183="","",SUMIFS($U$10:U183,$AG$10:AG183,AG183,$G$10:G183,G183))</x:f>
      </x:c>
      <x:c r="W183" s="62" t="str">
        <x:f>IF(C183="","",IF(AN183&lt;&gt;1,"",IF(G183="Single",AA183,IF(G183="Double",AC183,AE183))))</x:f>
      </x:c>
      <x:c r="X183" s="62" t="str">
        <x:f>IF(C183="","",IF(AN183&lt;&gt;1,"",ROUND(((AA183*AB183+AC183*AD183+AE183*AF183)/(AB183+AD183+AF183))+IF((MAX(AA183,AC183,AE183)-(AA183+AC183+AE183-MAX(AA183,AC183,AE183)-MIN(AA183,AC183,AE183)))&lt;'Model &amp; indstillinger'!$E$16,'Model &amp; indstillinger'!$E$18,'Model &amp; indstillinger'!$E$20)*(MAX(AA183,AC183,AE183)-((AA183*AB183+AC183*AD183+AE183*AF183)/(AB183+AD183+AF183))),0)))</x:f>
      </x:c>
      <x:c r="Y183" s="62" t="str">
        <x:f>IF(X183="","",'Model &amp; indstillinger'!$B$4-X183)</x:f>
      </x:c>
      <x:c r="Z183" s="62" t="str">
        <x:f>IF(C183="","",IF(H183="Planlagt","Planlagt – ingen point endnu",IF(H183="Ikke spillet","Ikke spillet – tæller ikke som kamp og giver ingen point",IF(AN183=1,"STÆVNE SLUT – samlet point tilskrives","Frosset pointgrundlag – ingen tilskrivning endnu"))))</x:f>
      </x:c>
      <x:c r="AA183" s="60" t="str">
        <x:f>IF(C183="","",'Model &amp; indstillinger'!$B$6+SUMIFS($U$10:U183,$G$10:G183,"Single"))</x:f>
      </x:c>
      <x:c r="AB183" s="60" t="str">
        <x:f>IF(C183="","",'Model &amp; indstillinger'!$B$7+COUNTIFS($G$10:G183,"Single",$AK$10:AK183,1))</x:f>
      </x:c>
      <x:c r="AC183" s="60" t="str">
        <x:f>IF(C183="","",'Model &amp; indstillinger'!$B$8+SUMIFS($U$10:U183,$G$10:G183,"Double"))</x:f>
      </x:c>
      <x:c r="AD183" s="60" t="str">
        <x:f>IF(C183="","",'Model &amp; indstillinger'!$B$9+COUNTIFS($G$10:G183,"Double",$AK$10:AK183,1))</x:f>
      </x:c>
      <x:c r="AE183" s="60" t="str">
        <x:f>IF(C183="","",'Model &amp; indstillinger'!$B$10+SUMIFS($U$10:U183,$G$10:G183,"Mix"))</x:f>
      </x:c>
      <x:c r="AF183" s="60" t="str">
        <x:f>IF(C183="","",'Model &amp; indstillinger'!$B$11+COUNTIFS($G$10:G183,"Mix",$AK$10:AK183,1))</x:f>
      </x:c>
      <x:c r="AG183" s="60" t="str">
        <x:f>IF(C183="","",IF(C183=C182,AG182,AG182+1))</x:f>
      </x:c>
      <x:c r="AH183" s="60" t="str">
        <x:f>IF(C183="","",IF(AG183=AG182,AH182,AA182))</x:f>
      </x:c>
      <x:c r="AI183" s="60" t="str">
        <x:f>IF(C183="","",IF(AG183=AG182,AI182,AC182))</x:f>
      </x:c>
      <x:c r="AJ183" s="60" t="str">
        <x:f>IF(C183="","",IF(AG183=AG182,AJ182,AE182))</x:f>
      </x:c>
      <x:c r="AK183" s="60" t="n">
        <x:f>IF(OR(H183="Vundet",H183="Tabt"),1,0)</x:f>
        <x:v>0</x:v>
      </x:c>
      <x:c r="AL183" s="60" t="n"/>
      <x:c r="AM183" s="60" t="n">
        <x:f>MAX($AG$10:$AG$209)</x:f>
        <x:v>4</x:v>
      </x:c>
      <x:c r="AN183" s="60" t="str">
        <x:f>IF(C183="","",IF(AND(C184&lt;&gt;"",C184&lt;&gt;C183),1,0))</x:f>
      </x:c>
      <x:c r="AO183" s="60" t="n"/>
      <x:c r="AP183" s="60" t="n">
        <x:f>MAX($AG$10:$AG$209)</x:f>
        <x:v>4</x:v>
      </x:c>
      <x:c r="AQ183" t="str">
        <x:f>AG183</x:f>
      </x:c>
      <x:c r="AR183" t="n">
        <x:f>C183</x:f>
        <x:v>0</x:v>
      </x:c>
      <x:c r="AS183" t="n">
        <x:f>E183</x:f>
        <x:v>0</x:v>
      </x:c>
    </x:row>
    <x:row r="184">
      <x:c r="A184" s="60" t="str">
        <x:f>IF(C184="","",COUNTIF($C$10:C184,"&lt;&gt;"))</x:f>
      </x:c>
      <x:c r="B184" s="122" t="n"/>
      <x:c r="C184" s="87" t="n"/>
      <x:c r="D184" s="87" t="n"/>
      <x:c r="E184" s="87" t="n"/>
      <x:c r="F184" s="87" t="n"/>
      <x:c r="G184" s="87" t="n"/>
      <x:c r="H184" s="87" t="n"/>
      <x:c r="I184" s="87" t="n"/>
      <x:c r="J184" s="87" t="n"/>
      <x:c r="K184" s="87" t="n"/>
      <x:c r="L184" s="87" t="n"/>
      <x:c r="M184" s="87" t="n"/>
      <x:c r="N184" s="87" t="n"/>
      <x:c r="O184" s="62" t="str">
        <x:f>IF(G184="","",IF(G184="Single",AH184,IF(G184="Double",AI184,AJ184)))</x:f>
      </x:c>
      <x:c r="P184" s="62" t="str">
        <x:f>IF(OR(G184="",H184="Ikke spillet"),"",IF(G184="Single",O184,IF(J184="","",(O184+J184)/2)))</x:f>
      </x:c>
      <x:c r="Q184" s="62" t="str">
        <x:f>IF(OR(G184="",H184="Ikke spillet"),"",IF(G184="Single",L184,IF(OR(L184="",N184=""),"",(L184+N184)/2)))</x:f>
      </x:c>
      <x:c r="R184" s="62" t="str">
        <x:f>IF(OR(P184="",Q184=""),"",Q184-P184)</x:f>
      </x:c>
      <x:c r="S184" s="62" t="str">
        <x:f>IF(H184="Ikke spillet","",IF(R184="","",IF(ABS(R184)&lt;0.000001,"Lige (0)",VLOOKUP(ABS(R184),'BD Pointtabel'!$A$4:$G$15,2,TRUE))))</x:f>
      </x:c>
      <x:c r="T184" s="62" t="str">
        <x:f>IF(H184="Ikke spillet","Ikke spillet",IF(H184="Planlagt","Planlagt",IF(OR(H184="",P184="",Q184=""),"",IF(H184="Vundet",IF(R184&gt;0,"Uventet sejr","Ventet sejr"),IF(R184&gt;=0,"Ventet nederlag","Uventet nederlag")))))</x:f>
      </x:c>
      <x:c r="U184" s="62" t="str">
        <x:f>IF(OR(H184="Ikke spillet",H184="Planlagt"),"",IF(OR(G184="",H184="",P184="",Q184=""),"",IF(AND(F184="Ungdomsholdturnering",OR(G184="Double",G184="Mix"),H184="Tabt"),0,IF(H184="Vundet",IF(R184&gt;0,VLOOKUP(ABS(R184),'BD Pointtabel'!$A$4:$G$15,4,TRUE),VLOOKUP(ABS(R184),'BD Pointtabel'!$A$4:$G$15,7,TRUE)),IF(R184&gt;=0,VLOOKUP(ABS(R184),'BD Pointtabel'!$A$4:$G$15,6,TRUE),VLOOKUP(ABS(R184),'BD Pointtabel'!$A$4:$G$15,3,TRUE))))))</x:f>
      </x:c>
      <x:c r="V184" s="62" t="str">
        <x:f>IF(G184="","",SUMIFS($U$10:U184,$AG$10:AG184,AG184,$G$10:G184,G184))</x:f>
      </x:c>
      <x:c r="W184" s="62" t="str">
        <x:f>IF(C184="","",IF(AN184&lt;&gt;1,"",IF(G184="Single",AA184,IF(G184="Double",AC184,AE184))))</x:f>
      </x:c>
      <x:c r="X184" s="62" t="str">
        <x:f>IF(C184="","",IF(AN184&lt;&gt;1,"",ROUND(((AA184*AB184+AC184*AD184+AE184*AF184)/(AB184+AD184+AF184))+IF((MAX(AA184,AC184,AE184)-(AA184+AC184+AE184-MAX(AA184,AC184,AE184)-MIN(AA184,AC184,AE184)))&lt;'Model &amp; indstillinger'!$E$16,'Model &amp; indstillinger'!$E$18,'Model &amp; indstillinger'!$E$20)*(MAX(AA184,AC184,AE184)-((AA184*AB184+AC184*AD184+AE184*AF184)/(AB184+AD184+AF184))),0)))</x:f>
      </x:c>
      <x:c r="Y184" s="62" t="str">
        <x:f>IF(X184="","",'Model &amp; indstillinger'!$B$4-X184)</x:f>
      </x:c>
      <x:c r="Z184" s="62" t="str">
        <x:f>IF(C184="","",IF(H184="Planlagt","Planlagt – ingen point endnu",IF(H184="Ikke spillet","Ikke spillet – tæller ikke som kamp og giver ingen point",IF(AN184=1,"STÆVNE SLUT – samlet point tilskrives","Frosset pointgrundlag – ingen tilskrivning endnu"))))</x:f>
      </x:c>
      <x:c r="AA184" s="60" t="str">
        <x:f>IF(C184="","",'Model &amp; indstillinger'!$B$6+SUMIFS($U$10:U184,$G$10:G184,"Single"))</x:f>
      </x:c>
      <x:c r="AB184" s="60" t="str">
        <x:f>IF(C184="","",'Model &amp; indstillinger'!$B$7+COUNTIFS($G$10:G184,"Single",$AK$10:AK184,1))</x:f>
      </x:c>
      <x:c r="AC184" s="60" t="str">
        <x:f>IF(C184="","",'Model &amp; indstillinger'!$B$8+SUMIFS($U$10:U184,$G$10:G184,"Double"))</x:f>
      </x:c>
      <x:c r="AD184" s="60" t="str">
        <x:f>IF(C184="","",'Model &amp; indstillinger'!$B$9+COUNTIFS($G$10:G184,"Double",$AK$10:AK184,1))</x:f>
      </x:c>
      <x:c r="AE184" s="60" t="str">
        <x:f>IF(C184="","",'Model &amp; indstillinger'!$B$10+SUMIFS($U$10:U184,$G$10:G184,"Mix"))</x:f>
      </x:c>
      <x:c r="AF184" s="60" t="str">
        <x:f>IF(C184="","",'Model &amp; indstillinger'!$B$11+COUNTIFS($G$10:G184,"Mix",$AK$10:AK184,1))</x:f>
      </x:c>
      <x:c r="AG184" s="60" t="str">
        <x:f>IF(C184="","",IF(C184=C183,AG183,AG183+1))</x:f>
      </x:c>
      <x:c r="AH184" s="60" t="str">
        <x:f>IF(C184="","",IF(AG184=AG183,AH183,AA183))</x:f>
      </x:c>
      <x:c r="AI184" s="60" t="str">
        <x:f>IF(C184="","",IF(AG184=AG183,AI183,AC183))</x:f>
      </x:c>
      <x:c r="AJ184" s="60" t="str">
        <x:f>IF(C184="","",IF(AG184=AG183,AJ183,AE183))</x:f>
      </x:c>
      <x:c r="AK184" s="60" t="n">
        <x:f>IF(OR(H184="Vundet",H184="Tabt"),1,0)</x:f>
        <x:v>0</x:v>
      </x:c>
      <x:c r="AL184" s="60" t="n"/>
      <x:c r="AM184" s="60" t="n">
        <x:f>MAX($AG$10:$AG$209)</x:f>
        <x:v>4</x:v>
      </x:c>
      <x:c r="AN184" s="60" t="str">
        <x:f>IF(C184="","",IF(AND(C185&lt;&gt;"",C185&lt;&gt;C184),1,0))</x:f>
      </x:c>
      <x:c r="AO184" s="60" t="n"/>
      <x:c r="AP184" s="60" t="n">
        <x:f>MAX($AG$10:$AG$209)</x:f>
        <x:v>4</x:v>
      </x:c>
      <x:c r="AQ184" t="str">
        <x:f>AG184</x:f>
      </x:c>
      <x:c r="AR184" t="n">
        <x:f>C184</x:f>
        <x:v>0</x:v>
      </x:c>
      <x:c r="AS184" t="n">
        <x:f>E184</x:f>
        <x:v>0</x:v>
      </x:c>
    </x:row>
    <x:row r="185">
      <x:c r="A185" s="60" t="str">
        <x:f>IF(C185="","",COUNTIF($C$10:C185,"&lt;&gt;"))</x:f>
      </x:c>
      <x:c r="B185" s="122" t="n"/>
      <x:c r="C185" s="87" t="n"/>
      <x:c r="D185" s="87" t="n"/>
      <x:c r="E185" s="87" t="n"/>
      <x:c r="F185" s="87" t="n"/>
      <x:c r="G185" s="87" t="n"/>
      <x:c r="H185" s="87" t="n"/>
      <x:c r="I185" s="87" t="n"/>
      <x:c r="J185" s="87" t="n"/>
      <x:c r="K185" s="87" t="n"/>
      <x:c r="L185" s="87" t="n"/>
      <x:c r="M185" s="87" t="n"/>
      <x:c r="N185" s="87" t="n"/>
      <x:c r="O185" s="62" t="str">
        <x:f>IF(G185="","",IF(G185="Single",AH185,IF(G185="Double",AI185,AJ185)))</x:f>
      </x:c>
      <x:c r="P185" s="62" t="str">
        <x:f>IF(OR(G185="",H185="Ikke spillet"),"",IF(G185="Single",O185,IF(J185="","",(O185+J185)/2)))</x:f>
      </x:c>
      <x:c r="Q185" s="62" t="str">
        <x:f>IF(OR(G185="",H185="Ikke spillet"),"",IF(G185="Single",L185,IF(OR(L185="",N185=""),"",(L185+N185)/2)))</x:f>
      </x:c>
      <x:c r="R185" s="62" t="str">
        <x:f>IF(OR(P185="",Q185=""),"",Q185-P185)</x:f>
      </x:c>
      <x:c r="S185" s="62" t="str">
        <x:f>IF(H185="Ikke spillet","",IF(R185="","",IF(ABS(R185)&lt;0.000001,"Lige (0)",VLOOKUP(ABS(R185),'BD Pointtabel'!$A$4:$G$15,2,TRUE))))</x:f>
      </x:c>
      <x:c r="T185" s="62" t="str">
        <x:f>IF(H185="Ikke spillet","Ikke spillet",IF(H185="Planlagt","Planlagt",IF(OR(H185="",P185="",Q185=""),"",IF(H185="Vundet",IF(R185&gt;0,"Uventet sejr","Ventet sejr"),IF(R185&gt;=0,"Ventet nederlag","Uventet nederlag")))))</x:f>
      </x:c>
      <x:c r="U185" s="62" t="str">
        <x:f>IF(OR(H185="Ikke spillet",H185="Planlagt"),"",IF(OR(G185="",H185="",P185="",Q185=""),"",IF(AND(F185="Ungdomsholdturnering",OR(G185="Double",G185="Mix"),H185="Tabt"),0,IF(H185="Vundet",IF(R185&gt;0,VLOOKUP(ABS(R185),'BD Pointtabel'!$A$4:$G$15,4,TRUE),VLOOKUP(ABS(R185),'BD Pointtabel'!$A$4:$G$15,7,TRUE)),IF(R185&gt;=0,VLOOKUP(ABS(R185),'BD Pointtabel'!$A$4:$G$15,6,TRUE),VLOOKUP(ABS(R185),'BD Pointtabel'!$A$4:$G$15,3,TRUE))))))</x:f>
      </x:c>
      <x:c r="V185" s="62" t="str">
        <x:f>IF(G185="","",SUMIFS($U$10:U185,$AG$10:AG185,AG185,$G$10:G185,G185))</x:f>
      </x:c>
      <x:c r="W185" s="62" t="str">
        <x:f>IF(C185="","",IF(AN185&lt;&gt;1,"",IF(G185="Single",AA185,IF(G185="Double",AC185,AE185))))</x:f>
      </x:c>
      <x:c r="X185" s="62" t="str">
        <x:f>IF(C185="","",IF(AN185&lt;&gt;1,"",ROUND(((AA185*AB185+AC185*AD185+AE185*AF185)/(AB185+AD185+AF185))+IF((MAX(AA185,AC185,AE185)-(AA185+AC185+AE185-MAX(AA185,AC185,AE185)-MIN(AA185,AC185,AE185)))&lt;'Model &amp; indstillinger'!$E$16,'Model &amp; indstillinger'!$E$18,'Model &amp; indstillinger'!$E$20)*(MAX(AA185,AC185,AE185)-((AA185*AB185+AC185*AD185+AE185*AF185)/(AB185+AD185+AF185))),0)))</x:f>
      </x:c>
      <x:c r="Y185" s="62" t="str">
        <x:f>IF(X185="","",'Model &amp; indstillinger'!$B$4-X185)</x:f>
      </x:c>
      <x:c r="Z185" s="62" t="str">
        <x:f>IF(C185="","",IF(H185="Planlagt","Planlagt – ingen point endnu",IF(H185="Ikke spillet","Ikke spillet – tæller ikke som kamp og giver ingen point",IF(AN185=1,"STÆVNE SLUT – samlet point tilskrives","Frosset pointgrundlag – ingen tilskrivning endnu"))))</x:f>
      </x:c>
      <x:c r="AA185" s="60" t="str">
        <x:f>IF(C185="","",'Model &amp; indstillinger'!$B$6+SUMIFS($U$10:U185,$G$10:G185,"Single"))</x:f>
      </x:c>
      <x:c r="AB185" s="60" t="str">
        <x:f>IF(C185="","",'Model &amp; indstillinger'!$B$7+COUNTIFS($G$10:G185,"Single",$AK$10:AK185,1))</x:f>
      </x:c>
      <x:c r="AC185" s="60" t="str">
        <x:f>IF(C185="","",'Model &amp; indstillinger'!$B$8+SUMIFS($U$10:U185,$G$10:G185,"Double"))</x:f>
      </x:c>
      <x:c r="AD185" s="60" t="str">
        <x:f>IF(C185="","",'Model &amp; indstillinger'!$B$9+COUNTIFS($G$10:G185,"Double",$AK$10:AK185,1))</x:f>
      </x:c>
      <x:c r="AE185" s="60" t="str">
        <x:f>IF(C185="","",'Model &amp; indstillinger'!$B$10+SUMIFS($U$10:U185,$G$10:G185,"Mix"))</x:f>
      </x:c>
      <x:c r="AF185" s="60" t="str">
        <x:f>IF(C185="","",'Model &amp; indstillinger'!$B$11+COUNTIFS($G$10:G185,"Mix",$AK$10:AK185,1))</x:f>
      </x:c>
      <x:c r="AG185" s="60" t="str">
        <x:f>IF(C185="","",IF(C185=C184,AG184,AG184+1))</x:f>
      </x:c>
      <x:c r="AH185" s="60" t="str">
        <x:f>IF(C185="","",IF(AG185=AG184,AH184,AA184))</x:f>
      </x:c>
      <x:c r="AI185" s="60" t="str">
        <x:f>IF(C185="","",IF(AG185=AG184,AI184,AC184))</x:f>
      </x:c>
      <x:c r="AJ185" s="60" t="str">
        <x:f>IF(C185="","",IF(AG185=AG184,AJ184,AE184))</x:f>
      </x:c>
      <x:c r="AK185" s="60" t="n">
        <x:f>IF(OR(H185="Vundet",H185="Tabt"),1,0)</x:f>
        <x:v>0</x:v>
      </x:c>
      <x:c r="AL185" s="60" t="n"/>
      <x:c r="AM185" s="60" t="n">
        <x:f>MAX($AG$10:$AG$209)</x:f>
        <x:v>4</x:v>
      </x:c>
      <x:c r="AN185" s="60" t="str">
        <x:f>IF(C185="","",IF(AND(C186&lt;&gt;"",C186&lt;&gt;C185),1,0))</x:f>
      </x:c>
      <x:c r="AO185" s="60" t="n"/>
      <x:c r="AP185" s="60" t="n">
        <x:f>MAX($AG$10:$AG$209)</x:f>
        <x:v>4</x:v>
      </x:c>
      <x:c r="AQ185" t="str">
        <x:f>AG185</x:f>
      </x:c>
      <x:c r="AR185" t="n">
        <x:f>C185</x:f>
        <x:v>0</x:v>
      </x:c>
      <x:c r="AS185" t="n">
        <x:f>E185</x:f>
        <x:v>0</x:v>
      </x:c>
    </x:row>
    <x:row r="186">
      <x:c r="A186" s="60" t="str">
        <x:f>IF(C186="","",COUNTIF($C$10:C186,"&lt;&gt;"))</x:f>
      </x:c>
      <x:c r="B186" s="122" t="n"/>
      <x:c r="C186" s="87" t="n"/>
      <x:c r="D186" s="87" t="n"/>
      <x:c r="E186" s="87" t="n"/>
      <x:c r="F186" s="87" t="n"/>
      <x:c r="G186" s="87" t="n"/>
      <x:c r="H186" s="87" t="n"/>
      <x:c r="I186" s="87" t="n"/>
      <x:c r="J186" s="87" t="n"/>
      <x:c r="K186" s="87" t="n"/>
      <x:c r="L186" s="87" t="n"/>
      <x:c r="M186" s="87" t="n"/>
      <x:c r="N186" s="87" t="n"/>
      <x:c r="O186" s="62" t="str">
        <x:f>IF(G186="","",IF(G186="Single",AH186,IF(G186="Double",AI186,AJ186)))</x:f>
      </x:c>
      <x:c r="P186" s="62" t="str">
        <x:f>IF(OR(G186="",H186="Ikke spillet"),"",IF(G186="Single",O186,IF(J186="","",(O186+J186)/2)))</x:f>
      </x:c>
      <x:c r="Q186" s="62" t="str">
        <x:f>IF(OR(G186="",H186="Ikke spillet"),"",IF(G186="Single",L186,IF(OR(L186="",N186=""),"",(L186+N186)/2)))</x:f>
      </x:c>
      <x:c r="R186" s="62" t="str">
        <x:f>IF(OR(P186="",Q186=""),"",Q186-P186)</x:f>
      </x:c>
      <x:c r="S186" s="62" t="str">
        <x:f>IF(H186="Ikke spillet","",IF(R186="","",IF(ABS(R186)&lt;0.000001,"Lige (0)",VLOOKUP(ABS(R186),'BD Pointtabel'!$A$4:$G$15,2,TRUE))))</x:f>
      </x:c>
      <x:c r="T186" s="62" t="str">
        <x:f>IF(H186="Ikke spillet","Ikke spillet",IF(H186="Planlagt","Planlagt",IF(OR(H186="",P186="",Q186=""),"",IF(H186="Vundet",IF(R186&gt;0,"Uventet sejr","Ventet sejr"),IF(R186&gt;=0,"Ventet nederlag","Uventet nederlag")))))</x:f>
      </x:c>
      <x:c r="U186" s="62" t="str">
        <x:f>IF(OR(H186="Ikke spillet",H186="Planlagt"),"",IF(OR(G186="",H186="",P186="",Q186=""),"",IF(AND(F186="Ungdomsholdturnering",OR(G186="Double",G186="Mix"),H186="Tabt"),0,IF(H186="Vundet",IF(R186&gt;0,VLOOKUP(ABS(R186),'BD Pointtabel'!$A$4:$G$15,4,TRUE),VLOOKUP(ABS(R186),'BD Pointtabel'!$A$4:$G$15,7,TRUE)),IF(R186&gt;=0,VLOOKUP(ABS(R186),'BD Pointtabel'!$A$4:$G$15,6,TRUE),VLOOKUP(ABS(R186),'BD Pointtabel'!$A$4:$G$15,3,TRUE))))))</x:f>
      </x:c>
      <x:c r="V186" s="62" t="str">
        <x:f>IF(G186="","",SUMIFS($U$10:U186,$AG$10:AG186,AG186,$G$10:G186,G186))</x:f>
      </x:c>
      <x:c r="W186" s="62" t="str">
        <x:f>IF(C186="","",IF(AN186&lt;&gt;1,"",IF(G186="Single",AA186,IF(G186="Double",AC186,AE186))))</x:f>
      </x:c>
      <x:c r="X186" s="62" t="str">
        <x:f>IF(C186="","",IF(AN186&lt;&gt;1,"",ROUND(((AA186*AB186+AC186*AD186+AE186*AF186)/(AB186+AD186+AF186))+IF((MAX(AA186,AC186,AE186)-(AA186+AC186+AE186-MAX(AA186,AC186,AE186)-MIN(AA186,AC186,AE186)))&lt;'Model &amp; indstillinger'!$E$16,'Model &amp; indstillinger'!$E$18,'Model &amp; indstillinger'!$E$20)*(MAX(AA186,AC186,AE186)-((AA186*AB186+AC186*AD186+AE186*AF186)/(AB186+AD186+AF186))),0)))</x:f>
      </x:c>
      <x:c r="Y186" s="62" t="str">
        <x:f>IF(X186="","",'Model &amp; indstillinger'!$B$4-X186)</x:f>
      </x:c>
      <x:c r="Z186" s="62" t="str">
        <x:f>IF(C186="","",IF(H186="Planlagt","Planlagt – ingen point endnu",IF(H186="Ikke spillet","Ikke spillet – tæller ikke som kamp og giver ingen point",IF(AN186=1,"STÆVNE SLUT – samlet point tilskrives","Frosset pointgrundlag – ingen tilskrivning endnu"))))</x:f>
      </x:c>
      <x:c r="AA186" s="60" t="str">
        <x:f>IF(C186="","",'Model &amp; indstillinger'!$B$6+SUMIFS($U$10:U186,$G$10:G186,"Single"))</x:f>
      </x:c>
      <x:c r="AB186" s="60" t="str">
        <x:f>IF(C186="","",'Model &amp; indstillinger'!$B$7+COUNTIFS($G$10:G186,"Single",$AK$10:AK186,1))</x:f>
      </x:c>
      <x:c r="AC186" s="60" t="str">
        <x:f>IF(C186="","",'Model &amp; indstillinger'!$B$8+SUMIFS($U$10:U186,$G$10:G186,"Double"))</x:f>
      </x:c>
      <x:c r="AD186" s="60" t="str">
        <x:f>IF(C186="","",'Model &amp; indstillinger'!$B$9+COUNTIFS($G$10:G186,"Double",$AK$10:AK186,1))</x:f>
      </x:c>
      <x:c r="AE186" s="60" t="str">
        <x:f>IF(C186="","",'Model &amp; indstillinger'!$B$10+SUMIFS($U$10:U186,$G$10:G186,"Mix"))</x:f>
      </x:c>
      <x:c r="AF186" s="60" t="str">
        <x:f>IF(C186="","",'Model &amp; indstillinger'!$B$11+COUNTIFS($G$10:G186,"Mix",$AK$10:AK186,1))</x:f>
      </x:c>
      <x:c r="AG186" s="60" t="str">
        <x:f>IF(C186="","",IF(C186=C185,AG185,AG185+1))</x:f>
      </x:c>
      <x:c r="AH186" s="60" t="str">
        <x:f>IF(C186="","",IF(AG186=AG185,AH185,AA185))</x:f>
      </x:c>
      <x:c r="AI186" s="60" t="str">
        <x:f>IF(C186="","",IF(AG186=AG185,AI185,AC185))</x:f>
      </x:c>
      <x:c r="AJ186" s="60" t="str">
        <x:f>IF(C186="","",IF(AG186=AG185,AJ185,AE185))</x:f>
      </x:c>
      <x:c r="AK186" s="60" t="n">
        <x:f>IF(OR(H186="Vundet",H186="Tabt"),1,0)</x:f>
        <x:v>0</x:v>
      </x:c>
      <x:c r="AL186" s="60" t="n"/>
      <x:c r="AM186" s="60" t="n">
        <x:f>MAX($AG$10:$AG$209)</x:f>
        <x:v>4</x:v>
      </x:c>
      <x:c r="AN186" s="60" t="str">
        <x:f>IF(C186="","",IF(AND(C187&lt;&gt;"",C187&lt;&gt;C186),1,0))</x:f>
      </x:c>
      <x:c r="AO186" s="60" t="n"/>
      <x:c r="AP186" s="60" t="n">
        <x:f>MAX($AG$10:$AG$209)</x:f>
        <x:v>4</x:v>
      </x:c>
      <x:c r="AQ186" t="str">
        <x:f>AG186</x:f>
      </x:c>
      <x:c r="AR186" t="n">
        <x:f>C186</x:f>
        <x:v>0</x:v>
      </x:c>
      <x:c r="AS186" t="n">
        <x:f>E186</x:f>
        <x:v>0</x:v>
      </x:c>
    </x:row>
    <x:row r="187">
      <x:c r="A187" s="60" t="str">
        <x:f>IF(C187="","",COUNTIF($C$10:C187,"&lt;&gt;"))</x:f>
      </x:c>
      <x:c r="B187" s="122" t="n"/>
      <x:c r="C187" s="87" t="n"/>
      <x:c r="D187" s="87" t="n"/>
      <x:c r="E187" s="87" t="n"/>
      <x:c r="F187" s="87" t="n"/>
      <x:c r="G187" s="87" t="n"/>
      <x:c r="H187" s="87" t="n"/>
      <x:c r="I187" s="87" t="n"/>
      <x:c r="J187" s="87" t="n"/>
      <x:c r="K187" s="87" t="n"/>
      <x:c r="L187" s="87" t="n"/>
      <x:c r="M187" s="87" t="n"/>
      <x:c r="N187" s="87" t="n"/>
      <x:c r="O187" s="62" t="str">
        <x:f>IF(G187="","",IF(G187="Single",AH187,IF(G187="Double",AI187,AJ187)))</x:f>
      </x:c>
      <x:c r="P187" s="62" t="str">
        <x:f>IF(OR(G187="",H187="Ikke spillet"),"",IF(G187="Single",O187,IF(J187="","",(O187+J187)/2)))</x:f>
      </x:c>
      <x:c r="Q187" s="62" t="str">
        <x:f>IF(OR(G187="",H187="Ikke spillet"),"",IF(G187="Single",L187,IF(OR(L187="",N187=""),"",(L187+N187)/2)))</x:f>
      </x:c>
      <x:c r="R187" s="62" t="str">
        <x:f>IF(OR(P187="",Q187=""),"",Q187-P187)</x:f>
      </x:c>
      <x:c r="S187" s="62" t="str">
        <x:f>IF(H187="Ikke spillet","",IF(R187="","",IF(ABS(R187)&lt;0.000001,"Lige (0)",VLOOKUP(ABS(R187),'BD Pointtabel'!$A$4:$G$15,2,TRUE))))</x:f>
      </x:c>
      <x:c r="T187" s="62" t="str">
        <x:f>IF(H187="Ikke spillet","Ikke spillet",IF(H187="Planlagt","Planlagt",IF(OR(H187="",P187="",Q187=""),"",IF(H187="Vundet",IF(R187&gt;0,"Uventet sejr","Ventet sejr"),IF(R187&gt;=0,"Ventet nederlag","Uventet nederlag")))))</x:f>
      </x:c>
      <x:c r="U187" s="62" t="str">
        <x:f>IF(OR(H187="Ikke spillet",H187="Planlagt"),"",IF(OR(G187="",H187="",P187="",Q187=""),"",IF(AND(F187="Ungdomsholdturnering",OR(G187="Double",G187="Mix"),H187="Tabt"),0,IF(H187="Vundet",IF(R187&gt;0,VLOOKUP(ABS(R187),'BD Pointtabel'!$A$4:$G$15,4,TRUE),VLOOKUP(ABS(R187),'BD Pointtabel'!$A$4:$G$15,7,TRUE)),IF(R187&gt;=0,VLOOKUP(ABS(R187),'BD Pointtabel'!$A$4:$G$15,6,TRUE),VLOOKUP(ABS(R187),'BD Pointtabel'!$A$4:$G$15,3,TRUE))))))</x:f>
      </x:c>
      <x:c r="V187" s="62" t="str">
        <x:f>IF(G187="","",SUMIFS($U$10:U187,$AG$10:AG187,AG187,$G$10:G187,G187))</x:f>
      </x:c>
      <x:c r="W187" s="62" t="str">
        <x:f>IF(C187="","",IF(AN187&lt;&gt;1,"",IF(G187="Single",AA187,IF(G187="Double",AC187,AE187))))</x:f>
      </x:c>
      <x:c r="X187" s="62" t="str">
        <x:f>IF(C187="","",IF(AN187&lt;&gt;1,"",ROUND(((AA187*AB187+AC187*AD187+AE187*AF187)/(AB187+AD187+AF187))+IF((MAX(AA187,AC187,AE187)-(AA187+AC187+AE187-MAX(AA187,AC187,AE187)-MIN(AA187,AC187,AE187)))&lt;'Model &amp; indstillinger'!$E$16,'Model &amp; indstillinger'!$E$18,'Model &amp; indstillinger'!$E$20)*(MAX(AA187,AC187,AE187)-((AA187*AB187+AC187*AD187+AE187*AF187)/(AB187+AD187+AF187))),0)))</x:f>
      </x:c>
      <x:c r="Y187" s="62" t="str">
        <x:f>IF(X187="","",'Model &amp; indstillinger'!$B$4-X187)</x:f>
      </x:c>
      <x:c r="Z187" s="62" t="str">
        <x:f>IF(C187="","",IF(H187="Planlagt","Planlagt – ingen point endnu",IF(H187="Ikke spillet","Ikke spillet – tæller ikke som kamp og giver ingen point",IF(AN187=1,"STÆVNE SLUT – samlet point tilskrives","Frosset pointgrundlag – ingen tilskrivning endnu"))))</x:f>
      </x:c>
      <x:c r="AA187" s="60" t="str">
        <x:f>IF(C187="","",'Model &amp; indstillinger'!$B$6+SUMIFS($U$10:U187,$G$10:G187,"Single"))</x:f>
      </x:c>
      <x:c r="AB187" s="60" t="str">
        <x:f>IF(C187="","",'Model &amp; indstillinger'!$B$7+COUNTIFS($G$10:G187,"Single",$AK$10:AK187,1))</x:f>
      </x:c>
      <x:c r="AC187" s="60" t="str">
        <x:f>IF(C187="","",'Model &amp; indstillinger'!$B$8+SUMIFS($U$10:U187,$G$10:G187,"Double"))</x:f>
      </x:c>
      <x:c r="AD187" s="60" t="str">
        <x:f>IF(C187="","",'Model &amp; indstillinger'!$B$9+COUNTIFS($G$10:G187,"Double",$AK$10:AK187,1))</x:f>
      </x:c>
      <x:c r="AE187" s="60" t="str">
        <x:f>IF(C187="","",'Model &amp; indstillinger'!$B$10+SUMIFS($U$10:U187,$G$10:G187,"Mix"))</x:f>
      </x:c>
      <x:c r="AF187" s="60" t="str">
        <x:f>IF(C187="","",'Model &amp; indstillinger'!$B$11+COUNTIFS($G$10:G187,"Mix",$AK$10:AK187,1))</x:f>
      </x:c>
      <x:c r="AG187" s="60" t="str">
        <x:f>IF(C187="","",IF(C187=C186,AG186,AG186+1))</x:f>
      </x:c>
      <x:c r="AH187" s="60" t="str">
        <x:f>IF(C187="","",IF(AG187=AG186,AH186,AA186))</x:f>
      </x:c>
      <x:c r="AI187" s="60" t="str">
        <x:f>IF(C187="","",IF(AG187=AG186,AI186,AC186))</x:f>
      </x:c>
      <x:c r="AJ187" s="60" t="str">
        <x:f>IF(C187="","",IF(AG187=AG186,AJ186,AE186))</x:f>
      </x:c>
      <x:c r="AK187" s="60" t="n">
        <x:f>IF(OR(H187="Vundet",H187="Tabt"),1,0)</x:f>
        <x:v>0</x:v>
      </x:c>
      <x:c r="AL187" s="60" t="n"/>
      <x:c r="AM187" s="60" t="n">
        <x:f>MAX($AG$10:$AG$209)</x:f>
        <x:v>4</x:v>
      </x:c>
      <x:c r="AN187" s="60" t="str">
        <x:f>IF(C187="","",IF(AND(C188&lt;&gt;"",C188&lt;&gt;C187),1,0))</x:f>
      </x:c>
      <x:c r="AO187" s="60" t="n"/>
      <x:c r="AP187" s="60" t="n">
        <x:f>MAX($AG$10:$AG$209)</x:f>
        <x:v>4</x:v>
      </x:c>
      <x:c r="AQ187" t="str">
        <x:f>AG187</x:f>
      </x:c>
      <x:c r="AR187" t="n">
        <x:f>C187</x:f>
        <x:v>0</x:v>
      </x:c>
      <x:c r="AS187" t="n">
        <x:f>E187</x:f>
        <x:v>0</x:v>
      </x:c>
    </x:row>
    <x:row r="188">
      <x:c r="A188" s="60" t="str">
        <x:f>IF(C188="","",COUNTIF($C$10:C188,"&lt;&gt;"))</x:f>
      </x:c>
      <x:c r="B188" s="122" t="n"/>
      <x:c r="C188" s="87" t="n"/>
      <x:c r="D188" s="87" t="n"/>
      <x:c r="E188" s="87" t="n"/>
      <x:c r="F188" s="87" t="n"/>
      <x:c r="G188" s="87" t="n"/>
      <x:c r="H188" s="87" t="n"/>
      <x:c r="I188" s="87" t="n"/>
      <x:c r="J188" s="87" t="n"/>
      <x:c r="K188" s="87" t="n"/>
      <x:c r="L188" s="87" t="n"/>
      <x:c r="M188" s="87" t="n"/>
      <x:c r="N188" s="87" t="n"/>
      <x:c r="O188" s="62" t="str">
        <x:f>IF(G188="","",IF(G188="Single",AH188,IF(G188="Double",AI188,AJ188)))</x:f>
      </x:c>
      <x:c r="P188" s="62" t="str">
        <x:f>IF(OR(G188="",H188="Ikke spillet"),"",IF(G188="Single",O188,IF(J188="","",(O188+J188)/2)))</x:f>
      </x:c>
      <x:c r="Q188" s="62" t="str">
        <x:f>IF(OR(G188="",H188="Ikke spillet"),"",IF(G188="Single",L188,IF(OR(L188="",N188=""),"",(L188+N188)/2)))</x:f>
      </x:c>
      <x:c r="R188" s="62" t="str">
        <x:f>IF(OR(P188="",Q188=""),"",Q188-P188)</x:f>
      </x:c>
      <x:c r="S188" s="62" t="str">
        <x:f>IF(H188="Ikke spillet","",IF(R188="","",IF(ABS(R188)&lt;0.000001,"Lige (0)",VLOOKUP(ABS(R188),'BD Pointtabel'!$A$4:$G$15,2,TRUE))))</x:f>
      </x:c>
      <x:c r="T188" s="62" t="str">
        <x:f>IF(H188="Ikke spillet","Ikke spillet",IF(H188="Planlagt","Planlagt",IF(OR(H188="",P188="",Q188=""),"",IF(H188="Vundet",IF(R188&gt;0,"Uventet sejr","Ventet sejr"),IF(R188&gt;=0,"Ventet nederlag","Uventet nederlag")))))</x:f>
      </x:c>
      <x:c r="U188" s="62" t="str">
        <x:f>IF(OR(H188="Ikke spillet",H188="Planlagt"),"",IF(OR(G188="",H188="",P188="",Q188=""),"",IF(AND(F188="Ungdomsholdturnering",OR(G188="Double",G188="Mix"),H188="Tabt"),0,IF(H188="Vundet",IF(R188&gt;0,VLOOKUP(ABS(R188),'BD Pointtabel'!$A$4:$G$15,4,TRUE),VLOOKUP(ABS(R188),'BD Pointtabel'!$A$4:$G$15,7,TRUE)),IF(R188&gt;=0,VLOOKUP(ABS(R188),'BD Pointtabel'!$A$4:$G$15,6,TRUE),VLOOKUP(ABS(R188),'BD Pointtabel'!$A$4:$G$15,3,TRUE))))))</x:f>
      </x:c>
      <x:c r="V188" s="62" t="str">
        <x:f>IF(G188="","",SUMIFS($U$10:U188,$AG$10:AG188,AG188,$G$10:G188,G188))</x:f>
      </x:c>
      <x:c r="W188" s="62" t="str">
        <x:f>IF(C188="","",IF(AN188&lt;&gt;1,"",IF(G188="Single",AA188,IF(G188="Double",AC188,AE188))))</x:f>
      </x:c>
      <x:c r="X188" s="62" t="str">
        <x:f>IF(C188="","",IF(AN188&lt;&gt;1,"",ROUND(((AA188*AB188+AC188*AD188+AE188*AF188)/(AB188+AD188+AF188))+IF((MAX(AA188,AC188,AE188)-(AA188+AC188+AE188-MAX(AA188,AC188,AE188)-MIN(AA188,AC188,AE188)))&lt;'Model &amp; indstillinger'!$E$16,'Model &amp; indstillinger'!$E$18,'Model &amp; indstillinger'!$E$20)*(MAX(AA188,AC188,AE188)-((AA188*AB188+AC188*AD188+AE188*AF188)/(AB188+AD188+AF188))),0)))</x:f>
      </x:c>
      <x:c r="Y188" s="62" t="str">
        <x:f>IF(X188="","",'Model &amp; indstillinger'!$B$4-X188)</x:f>
      </x:c>
      <x:c r="Z188" s="62" t="str">
        <x:f>IF(C188="","",IF(H188="Planlagt","Planlagt – ingen point endnu",IF(H188="Ikke spillet","Ikke spillet – tæller ikke som kamp og giver ingen point",IF(AN188=1,"STÆVNE SLUT – samlet point tilskrives","Frosset pointgrundlag – ingen tilskrivning endnu"))))</x:f>
      </x:c>
      <x:c r="AA188" s="60" t="str">
        <x:f>IF(C188="","",'Model &amp; indstillinger'!$B$6+SUMIFS($U$10:U188,$G$10:G188,"Single"))</x:f>
      </x:c>
      <x:c r="AB188" s="60" t="str">
        <x:f>IF(C188="","",'Model &amp; indstillinger'!$B$7+COUNTIFS($G$10:G188,"Single",$AK$10:AK188,1))</x:f>
      </x:c>
      <x:c r="AC188" s="60" t="str">
        <x:f>IF(C188="","",'Model &amp; indstillinger'!$B$8+SUMIFS($U$10:U188,$G$10:G188,"Double"))</x:f>
      </x:c>
      <x:c r="AD188" s="60" t="str">
        <x:f>IF(C188="","",'Model &amp; indstillinger'!$B$9+COUNTIFS($G$10:G188,"Double",$AK$10:AK188,1))</x:f>
      </x:c>
      <x:c r="AE188" s="60" t="str">
        <x:f>IF(C188="","",'Model &amp; indstillinger'!$B$10+SUMIFS($U$10:U188,$G$10:G188,"Mix"))</x:f>
      </x:c>
      <x:c r="AF188" s="60" t="str">
        <x:f>IF(C188="","",'Model &amp; indstillinger'!$B$11+COUNTIFS($G$10:G188,"Mix",$AK$10:AK188,1))</x:f>
      </x:c>
      <x:c r="AG188" s="60" t="str">
        <x:f>IF(C188="","",IF(C188=C187,AG187,AG187+1))</x:f>
      </x:c>
      <x:c r="AH188" s="60" t="str">
        <x:f>IF(C188="","",IF(AG188=AG187,AH187,AA187))</x:f>
      </x:c>
      <x:c r="AI188" s="60" t="str">
        <x:f>IF(C188="","",IF(AG188=AG187,AI187,AC187))</x:f>
      </x:c>
      <x:c r="AJ188" s="60" t="str">
        <x:f>IF(C188="","",IF(AG188=AG187,AJ187,AE187))</x:f>
      </x:c>
      <x:c r="AK188" s="60" t="n">
        <x:f>IF(OR(H188="Vundet",H188="Tabt"),1,0)</x:f>
        <x:v>0</x:v>
      </x:c>
      <x:c r="AL188" s="60" t="n"/>
      <x:c r="AM188" s="60" t="n">
        <x:f>MAX($AG$10:$AG$209)</x:f>
        <x:v>4</x:v>
      </x:c>
      <x:c r="AN188" s="60" t="str">
        <x:f>IF(C188="","",IF(AND(C189&lt;&gt;"",C189&lt;&gt;C188),1,0))</x:f>
      </x:c>
      <x:c r="AO188" s="60" t="n"/>
      <x:c r="AP188" s="60" t="n">
        <x:f>MAX($AG$10:$AG$209)</x:f>
        <x:v>4</x:v>
      </x:c>
      <x:c r="AQ188" t="str">
        <x:f>AG188</x:f>
      </x:c>
      <x:c r="AR188" t="n">
        <x:f>C188</x:f>
        <x:v>0</x:v>
      </x:c>
      <x:c r="AS188" t="n">
        <x:f>E188</x:f>
        <x:v>0</x:v>
      </x:c>
    </x:row>
    <x:row r="189">
      <x:c r="A189" s="60" t="str">
        <x:f>IF(C189="","",COUNTIF($C$10:C189,"&lt;&gt;"))</x:f>
      </x:c>
      <x:c r="B189" s="122" t="n"/>
      <x:c r="C189" s="87" t="n"/>
      <x:c r="D189" s="87" t="n"/>
      <x:c r="E189" s="87" t="n"/>
      <x:c r="F189" s="87" t="n"/>
      <x:c r="G189" s="87" t="n"/>
      <x:c r="H189" s="87" t="n"/>
      <x:c r="I189" s="87" t="n"/>
      <x:c r="J189" s="87" t="n"/>
      <x:c r="K189" s="87" t="n"/>
      <x:c r="L189" s="87" t="n"/>
      <x:c r="M189" s="87" t="n"/>
      <x:c r="N189" s="87" t="n"/>
      <x:c r="O189" s="62" t="str">
        <x:f>IF(G189="","",IF(G189="Single",AH189,IF(G189="Double",AI189,AJ189)))</x:f>
      </x:c>
      <x:c r="P189" s="62" t="str">
        <x:f>IF(OR(G189="",H189="Ikke spillet"),"",IF(G189="Single",O189,IF(J189="","",(O189+J189)/2)))</x:f>
      </x:c>
      <x:c r="Q189" s="62" t="str">
        <x:f>IF(OR(G189="",H189="Ikke spillet"),"",IF(G189="Single",L189,IF(OR(L189="",N189=""),"",(L189+N189)/2)))</x:f>
      </x:c>
      <x:c r="R189" s="62" t="str">
        <x:f>IF(OR(P189="",Q189=""),"",Q189-P189)</x:f>
      </x:c>
      <x:c r="S189" s="62" t="str">
        <x:f>IF(H189="Ikke spillet","",IF(R189="","",IF(ABS(R189)&lt;0.000001,"Lige (0)",VLOOKUP(ABS(R189),'BD Pointtabel'!$A$4:$G$15,2,TRUE))))</x:f>
      </x:c>
      <x:c r="T189" s="62" t="str">
        <x:f>IF(H189="Ikke spillet","Ikke spillet",IF(H189="Planlagt","Planlagt",IF(OR(H189="",P189="",Q189=""),"",IF(H189="Vundet",IF(R189&gt;0,"Uventet sejr","Ventet sejr"),IF(R189&gt;=0,"Ventet nederlag","Uventet nederlag")))))</x:f>
      </x:c>
      <x:c r="U189" s="62" t="str">
        <x:f>IF(OR(H189="Ikke spillet",H189="Planlagt"),"",IF(OR(G189="",H189="",P189="",Q189=""),"",IF(AND(F189="Ungdomsholdturnering",OR(G189="Double",G189="Mix"),H189="Tabt"),0,IF(H189="Vundet",IF(R189&gt;0,VLOOKUP(ABS(R189),'BD Pointtabel'!$A$4:$G$15,4,TRUE),VLOOKUP(ABS(R189),'BD Pointtabel'!$A$4:$G$15,7,TRUE)),IF(R189&gt;=0,VLOOKUP(ABS(R189),'BD Pointtabel'!$A$4:$G$15,6,TRUE),VLOOKUP(ABS(R189),'BD Pointtabel'!$A$4:$G$15,3,TRUE))))))</x:f>
      </x:c>
      <x:c r="V189" s="62" t="str">
        <x:f>IF(G189="","",SUMIFS($U$10:U189,$AG$10:AG189,AG189,$G$10:G189,G189))</x:f>
      </x:c>
      <x:c r="W189" s="62" t="str">
        <x:f>IF(C189="","",IF(AN189&lt;&gt;1,"",IF(G189="Single",AA189,IF(G189="Double",AC189,AE189))))</x:f>
      </x:c>
      <x:c r="X189" s="62" t="str">
        <x:f>IF(C189="","",IF(AN189&lt;&gt;1,"",ROUND(((AA189*AB189+AC189*AD189+AE189*AF189)/(AB189+AD189+AF189))+IF((MAX(AA189,AC189,AE189)-(AA189+AC189+AE189-MAX(AA189,AC189,AE189)-MIN(AA189,AC189,AE189)))&lt;'Model &amp; indstillinger'!$E$16,'Model &amp; indstillinger'!$E$18,'Model &amp; indstillinger'!$E$20)*(MAX(AA189,AC189,AE189)-((AA189*AB189+AC189*AD189+AE189*AF189)/(AB189+AD189+AF189))),0)))</x:f>
      </x:c>
      <x:c r="Y189" s="62" t="str">
        <x:f>IF(X189="","",'Model &amp; indstillinger'!$B$4-X189)</x:f>
      </x:c>
      <x:c r="Z189" s="62" t="str">
        <x:f>IF(C189="","",IF(H189="Planlagt","Planlagt – ingen point endnu",IF(H189="Ikke spillet","Ikke spillet – tæller ikke som kamp og giver ingen point",IF(AN189=1,"STÆVNE SLUT – samlet point tilskrives","Frosset pointgrundlag – ingen tilskrivning endnu"))))</x:f>
      </x:c>
      <x:c r="AA189" s="60" t="str">
        <x:f>IF(C189="","",'Model &amp; indstillinger'!$B$6+SUMIFS($U$10:U189,$G$10:G189,"Single"))</x:f>
      </x:c>
      <x:c r="AB189" s="60" t="str">
        <x:f>IF(C189="","",'Model &amp; indstillinger'!$B$7+COUNTIFS($G$10:G189,"Single",$AK$10:AK189,1))</x:f>
      </x:c>
      <x:c r="AC189" s="60" t="str">
        <x:f>IF(C189="","",'Model &amp; indstillinger'!$B$8+SUMIFS($U$10:U189,$G$10:G189,"Double"))</x:f>
      </x:c>
      <x:c r="AD189" s="60" t="str">
        <x:f>IF(C189="","",'Model &amp; indstillinger'!$B$9+COUNTIFS($G$10:G189,"Double",$AK$10:AK189,1))</x:f>
      </x:c>
      <x:c r="AE189" s="60" t="str">
        <x:f>IF(C189="","",'Model &amp; indstillinger'!$B$10+SUMIFS($U$10:U189,$G$10:G189,"Mix"))</x:f>
      </x:c>
      <x:c r="AF189" s="60" t="str">
        <x:f>IF(C189="","",'Model &amp; indstillinger'!$B$11+COUNTIFS($G$10:G189,"Mix",$AK$10:AK189,1))</x:f>
      </x:c>
      <x:c r="AG189" s="60" t="str">
        <x:f>IF(C189="","",IF(C189=C188,AG188,AG188+1))</x:f>
      </x:c>
      <x:c r="AH189" s="60" t="str">
        <x:f>IF(C189="","",IF(AG189=AG188,AH188,AA188))</x:f>
      </x:c>
      <x:c r="AI189" s="60" t="str">
        <x:f>IF(C189="","",IF(AG189=AG188,AI188,AC188))</x:f>
      </x:c>
      <x:c r="AJ189" s="60" t="str">
        <x:f>IF(C189="","",IF(AG189=AG188,AJ188,AE188))</x:f>
      </x:c>
      <x:c r="AK189" s="60" t="n">
        <x:f>IF(OR(H189="Vundet",H189="Tabt"),1,0)</x:f>
        <x:v>0</x:v>
      </x:c>
      <x:c r="AL189" s="60" t="n"/>
      <x:c r="AM189" s="60" t="n">
        <x:f>MAX($AG$10:$AG$209)</x:f>
        <x:v>4</x:v>
      </x:c>
      <x:c r="AN189" s="60" t="str">
        <x:f>IF(C189="","",IF(AND(C190&lt;&gt;"",C190&lt;&gt;C189),1,0))</x:f>
      </x:c>
      <x:c r="AO189" s="60" t="n"/>
      <x:c r="AP189" s="60" t="n">
        <x:f>MAX($AG$10:$AG$209)</x:f>
        <x:v>4</x:v>
      </x:c>
      <x:c r="AQ189" t="str">
        <x:f>AG189</x:f>
      </x:c>
      <x:c r="AR189" t="n">
        <x:f>C189</x:f>
        <x:v>0</x:v>
      </x:c>
      <x:c r="AS189" t="n">
        <x:f>E189</x:f>
        <x:v>0</x:v>
      </x:c>
    </x:row>
    <x:row r="190">
      <x:c r="A190" s="60" t="str">
        <x:f>IF(C190="","",COUNTIF($C$10:C190,"&lt;&gt;"))</x:f>
      </x:c>
      <x:c r="B190" s="122" t="n"/>
      <x:c r="C190" s="87" t="n"/>
      <x:c r="D190" s="87" t="n"/>
      <x:c r="E190" s="87" t="n"/>
      <x:c r="F190" s="87" t="n"/>
      <x:c r="G190" s="87" t="n"/>
      <x:c r="H190" s="87" t="n"/>
      <x:c r="I190" s="87" t="n"/>
      <x:c r="J190" s="87" t="n"/>
      <x:c r="K190" s="87" t="n"/>
      <x:c r="L190" s="87" t="n"/>
      <x:c r="M190" s="87" t="n"/>
      <x:c r="N190" s="87" t="n"/>
      <x:c r="O190" s="62" t="str">
        <x:f>IF(G190="","",IF(G190="Single",AH190,IF(G190="Double",AI190,AJ190)))</x:f>
      </x:c>
      <x:c r="P190" s="62" t="str">
        <x:f>IF(OR(G190="",H190="Ikke spillet"),"",IF(G190="Single",O190,IF(J190="","",(O190+J190)/2)))</x:f>
      </x:c>
      <x:c r="Q190" s="62" t="str">
        <x:f>IF(OR(G190="",H190="Ikke spillet"),"",IF(G190="Single",L190,IF(OR(L190="",N190=""),"",(L190+N190)/2)))</x:f>
      </x:c>
      <x:c r="R190" s="62" t="str">
        <x:f>IF(OR(P190="",Q190=""),"",Q190-P190)</x:f>
      </x:c>
      <x:c r="S190" s="62" t="str">
        <x:f>IF(H190="Ikke spillet","",IF(R190="","",IF(ABS(R190)&lt;0.000001,"Lige (0)",VLOOKUP(ABS(R190),'BD Pointtabel'!$A$4:$G$15,2,TRUE))))</x:f>
      </x:c>
      <x:c r="T190" s="62" t="str">
        <x:f>IF(H190="Ikke spillet","Ikke spillet",IF(H190="Planlagt","Planlagt",IF(OR(H190="",P190="",Q190=""),"",IF(H190="Vundet",IF(R190&gt;0,"Uventet sejr","Ventet sejr"),IF(R190&gt;=0,"Ventet nederlag","Uventet nederlag")))))</x:f>
      </x:c>
      <x:c r="U190" s="62" t="str">
        <x:f>IF(OR(H190="Ikke spillet",H190="Planlagt"),"",IF(OR(G190="",H190="",P190="",Q190=""),"",IF(AND(F190="Ungdomsholdturnering",OR(G190="Double",G190="Mix"),H190="Tabt"),0,IF(H190="Vundet",IF(R190&gt;0,VLOOKUP(ABS(R190),'BD Pointtabel'!$A$4:$G$15,4,TRUE),VLOOKUP(ABS(R190),'BD Pointtabel'!$A$4:$G$15,7,TRUE)),IF(R190&gt;=0,VLOOKUP(ABS(R190),'BD Pointtabel'!$A$4:$G$15,6,TRUE),VLOOKUP(ABS(R190),'BD Pointtabel'!$A$4:$G$15,3,TRUE))))))</x:f>
      </x:c>
      <x:c r="V190" s="62" t="str">
        <x:f>IF(G190="","",SUMIFS($U$10:U190,$AG$10:AG190,AG190,$G$10:G190,G190))</x:f>
      </x:c>
      <x:c r="W190" s="62" t="str">
        <x:f>IF(C190="","",IF(AN190&lt;&gt;1,"",IF(G190="Single",AA190,IF(G190="Double",AC190,AE190))))</x:f>
      </x:c>
      <x:c r="X190" s="62" t="str">
        <x:f>IF(C190="","",IF(AN190&lt;&gt;1,"",ROUND(((AA190*AB190+AC190*AD190+AE190*AF190)/(AB190+AD190+AF190))+IF((MAX(AA190,AC190,AE190)-(AA190+AC190+AE190-MAX(AA190,AC190,AE190)-MIN(AA190,AC190,AE190)))&lt;'Model &amp; indstillinger'!$E$16,'Model &amp; indstillinger'!$E$18,'Model &amp; indstillinger'!$E$20)*(MAX(AA190,AC190,AE190)-((AA190*AB190+AC190*AD190+AE190*AF190)/(AB190+AD190+AF190))),0)))</x:f>
      </x:c>
      <x:c r="Y190" s="62" t="str">
        <x:f>IF(X190="","",'Model &amp; indstillinger'!$B$4-X190)</x:f>
      </x:c>
      <x:c r="Z190" s="62" t="str">
        <x:f>IF(C190="","",IF(H190="Planlagt","Planlagt – ingen point endnu",IF(H190="Ikke spillet","Ikke spillet – tæller ikke som kamp og giver ingen point",IF(AN190=1,"STÆVNE SLUT – samlet point tilskrives","Frosset pointgrundlag – ingen tilskrivning endnu"))))</x:f>
      </x:c>
      <x:c r="AA190" s="60" t="str">
        <x:f>IF(C190="","",'Model &amp; indstillinger'!$B$6+SUMIFS($U$10:U190,$G$10:G190,"Single"))</x:f>
      </x:c>
      <x:c r="AB190" s="60" t="str">
        <x:f>IF(C190="","",'Model &amp; indstillinger'!$B$7+COUNTIFS($G$10:G190,"Single",$AK$10:AK190,1))</x:f>
      </x:c>
      <x:c r="AC190" s="60" t="str">
        <x:f>IF(C190="","",'Model &amp; indstillinger'!$B$8+SUMIFS($U$10:U190,$G$10:G190,"Double"))</x:f>
      </x:c>
      <x:c r="AD190" s="60" t="str">
        <x:f>IF(C190="","",'Model &amp; indstillinger'!$B$9+COUNTIFS($G$10:G190,"Double",$AK$10:AK190,1))</x:f>
      </x:c>
      <x:c r="AE190" s="60" t="str">
        <x:f>IF(C190="","",'Model &amp; indstillinger'!$B$10+SUMIFS($U$10:U190,$G$10:G190,"Mix"))</x:f>
      </x:c>
      <x:c r="AF190" s="60" t="str">
        <x:f>IF(C190="","",'Model &amp; indstillinger'!$B$11+COUNTIFS($G$10:G190,"Mix",$AK$10:AK190,1))</x:f>
      </x:c>
      <x:c r="AG190" s="60" t="str">
        <x:f>IF(C190="","",IF(C190=C189,AG189,AG189+1))</x:f>
      </x:c>
      <x:c r="AH190" s="60" t="str">
        <x:f>IF(C190="","",IF(AG190=AG189,AH189,AA189))</x:f>
      </x:c>
      <x:c r="AI190" s="60" t="str">
        <x:f>IF(C190="","",IF(AG190=AG189,AI189,AC189))</x:f>
      </x:c>
      <x:c r="AJ190" s="60" t="str">
        <x:f>IF(C190="","",IF(AG190=AG189,AJ189,AE189))</x:f>
      </x:c>
      <x:c r="AK190" s="60" t="n">
        <x:f>IF(OR(H190="Vundet",H190="Tabt"),1,0)</x:f>
        <x:v>0</x:v>
      </x:c>
      <x:c r="AL190" s="60" t="n"/>
      <x:c r="AM190" s="60" t="n">
        <x:f>MAX($AG$10:$AG$209)</x:f>
        <x:v>4</x:v>
      </x:c>
      <x:c r="AN190" s="60" t="str">
        <x:f>IF(C190="","",IF(AND(C191&lt;&gt;"",C191&lt;&gt;C190),1,0))</x:f>
      </x:c>
      <x:c r="AO190" s="60" t="n"/>
      <x:c r="AP190" s="60" t="n">
        <x:f>MAX($AG$10:$AG$209)</x:f>
        <x:v>4</x:v>
      </x:c>
      <x:c r="AQ190" t="str">
        <x:f>AG190</x:f>
      </x:c>
      <x:c r="AR190" t="n">
        <x:f>C190</x:f>
        <x:v>0</x:v>
      </x:c>
      <x:c r="AS190" t="n">
        <x:f>E190</x:f>
        <x:v>0</x:v>
      </x:c>
    </x:row>
    <x:row r="191">
      <x:c r="A191" s="60" t="str">
        <x:f>IF(C191="","",COUNTIF($C$10:C191,"&lt;&gt;"))</x:f>
      </x:c>
      <x:c r="B191" s="122" t="n"/>
      <x:c r="C191" s="87" t="n"/>
      <x:c r="D191" s="87" t="n"/>
      <x:c r="E191" s="87" t="n"/>
      <x:c r="F191" s="87" t="n"/>
      <x:c r="G191" s="87" t="n"/>
      <x:c r="H191" s="87" t="n"/>
      <x:c r="I191" s="87" t="n"/>
      <x:c r="J191" s="87" t="n"/>
      <x:c r="K191" s="87" t="n"/>
      <x:c r="L191" s="87" t="n"/>
      <x:c r="M191" s="87" t="n"/>
      <x:c r="N191" s="87" t="n"/>
      <x:c r="O191" s="62" t="str">
        <x:f>IF(G191="","",IF(G191="Single",AH191,IF(G191="Double",AI191,AJ191)))</x:f>
      </x:c>
      <x:c r="P191" s="62" t="str">
        <x:f>IF(OR(G191="",H191="Ikke spillet"),"",IF(G191="Single",O191,IF(J191="","",(O191+J191)/2)))</x:f>
      </x:c>
      <x:c r="Q191" s="62" t="str">
        <x:f>IF(OR(G191="",H191="Ikke spillet"),"",IF(G191="Single",L191,IF(OR(L191="",N191=""),"",(L191+N191)/2)))</x:f>
      </x:c>
      <x:c r="R191" s="62" t="str">
        <x:f>IF(OR(P191="",Q191=""),"",Q191-P191)</x:f>
      </x:c>
      <x:c r="S191" s="62" t="str">
        <x:f>IF(H191="Ikke spillet","",IF(R191="","",IF(ABS(R191)&lt;0.000001,"Lige (0)",VLOOKUP(ABS(R191),'BD Pointtabel'!$A$4:$G$15,2,TRUE))))</x:f>
      </x:c>
      <x:c r="T191" s="62" t="str">
        <x:f>IF(H191="Ikke spillet","Ikke spillet",IF(H191="Planlagt","Planlagt",IF(OR(H191="",P191="",Q191=""),"",IF(H191="Vundet",IF(R191&gt;0,"Uventet sejr","Ventet sejr"),IF(R191&gt;=0,"Ventet nederlag","Uventet nederlag")))))</x:f>
      </x:c>
      <x:c r="U191" s="62" t="str">
        <x:f>IF(OR(H191="Ikke spillet",H191="Planlagt"),"",IF(OR(G191="",H191="",P191="",Q191=""),"",IF(AND(F191="Ungdomsholdturnering",OR(G191="Double",G191="Mix"),H191="Tabt"),0,IF(H191="Vundet",IF(R191&gt;0,VLOOKUP(ABS(R191),'BD Pointtabel'!$A$4:$G$15,4,TRUE),VLOOKUP(ABS(R191),'BD Pointtabel'!$A$4:$G$15,7,TRUE)),IF(R191&gt;=0,VLOOKUP(ABS(R191),'BD Pointtabel'!$A$4:$G$15,6,TRUE),VLOOKUP(ABS(R191),'BD Pointtabel'!$A$4:$G$15,3,TRUE))))))</x:f>
      </x:c>
      <x:c r="V191" s="62" t="str">
        <x:f>IF(G191="","",SUMIFS($U$10:U191,$AG$10:AG191,AG191,$G$10:G191,G191))</x:f>
      </x:c>
      <x:c r="W191" s="62" t="str">
        <x:f>IF(C191="","",IF(AN191&lt;&gt;1,"",IF(G191="Single",AA191,IF(G191="Double",AC191,AE191))))</x:f>
      </x:c>
      <x:c r="X191" s="62" t="str">
        <x:f>IF(C191="","",IF(AN191&lt;&gt;1,"",ROUND(((AA191*AB191+AC191*AD191+AE191*AF191)/(AB191+AD191+AF191))+IF((MAX(AA191,AC191,AE191)-(AA191+AC191+AE191-MAX(AA191,AC191,AE191)-MIN(AA191,AC191,AE191)))&lt;'Model &amp; indstillinger'!$E$16,'Model &amp; indstillinger'!$E$18,'Model &amp; indstillinger'!$E$20)*(MAX(AA191,AC191,AE191)-((AA191*AB191+AC191*AD191+AE191*AF191)/(AB191+AD191+AF191))),0)))</x:f>
      </x:c>
      <x:c r="Y191" s="62" t="str">
        <x:f>IF(X191="","",'Model &amp; indstillinger'!$B$4-X191)</x:f>
      </x:c>
      <x:c r="Z191" s="62" t="str">
        <x:f>IF(C191="","",IF(H191="Planlagt","Planlagt – ingen point endnu",IF(H191="Ikke spillet","Ikke spillet – tæller ikke som kamp og giver ingen point",IF(AN191=1,"STÆVNE SLUT – samlet point tilskrives","Frosset pointgrundlag – ingen tilskrivning endnu"))))</x:f>
      </x:c>
      <x:c r="AA191" s="60" t="str">
        <x:f>IF(C191="","",'Model &amp; indstillinger'!$B$6+SUMIFS($U$10:U191,$G$10:G191,"Single"))</x:f>
      </x:c>
      <x:c r="AB191" s="60" t="str">
        <x:f>IF(C191="","",'Model &amp; indstillinger'!$B$7+COUNTIFS($G$10:G191,"Single",$AK$10:AK191,1))</x:f>
      </x:c>
      <x:c r="AC191" s="60" t="str">
        <x:f>IF(C191="","",'Model &amp; indstillinger'!$B$8+SUMIFS($U$10:U191,$G$10:G191,"Double"))</x:f>
      </x:c>
      <x:c r="AD191" s="60" t="str">
        <x:f>IF(C191="","",'Model &amp; indstillinger'!$B$9+COUNTIFS($G$10:G191,"Double",$AK$10:AK191,1))</x:f>
      </x:c>
      <x:c r="AE191" s="60" t="str">
        <x:f>IF(C191="","",'Model &amp; indstillinger'!$B$10+SUMIFS($U$10:U191,$G$10:G191,"Mix"))</x:f>
      </x:c>
      <x:c r="AF191" s="60" t="str">
        <x:f>IF(C191="","",'Model &amp; indstillinger'!$B$11+COUNTIFS($G$10:G191,"Mix",$AK$10:AK191,1))</x:f>
      </x:c>
      <x:c r="AG191" s="60" t="str">
        <x:f>IF(C191="","",IF(C191=C190,AG190,AG190+1))</x:f>
      </x:c>
      <x:c r="AH191" s="60" t="str">
        <x:f>IF(C191="","",IF(AG191=AG190,AH190,AA190))</x:f>
      </x:c>
      <x:c r="AI191" s="60" t="str">
        <x:f>IF(C191="","",IF(AG191=AG190,AI190,AC190))</x:f>
      </x:c>
      <x:c r="AJ191" s="60" t="str">
        <x:f>IF(C191="","",IF(AG191=AG190,AJ190,AE190))</x:f>
      </x:c>
      <x:c r="AK191" s="60" t="n">
        <x:f>IF(OR(H191="Vundet",H191="Tabt"),1,0)</x:f>
        <x:v>0</x:v>
      </x:c>
      <x:c r="AL191" s="60" t="n"/>
      <x:c r="AM191" s="60" t="n">
        <x:f>MAX($AG$10:$AG$209)</x:f>
        <x:v>4</x:v>
      </x:c>
      <x:c r="AN191" s="60" t="str">
        <x:f>IF(C191="","",IF(AND(C192&lt;&gt;"",C192&lt;&gt;C191),1,0))</x:f>
      </x:c>
      <x:c r="AO191" s="60" t="n"/>
      <x:c r="AP191" s="60" t="n">
        <x:f>MAX($AG$10:$AG$209)</x:f>
        <x:v>4</x:v>
      </x:c>
      <x:c r="AQ191" t="str">
        <x:f>AG191</x:f>
      </x:c>
      <x:c r="AR191" t="n">
        <x:f>C191</x:f>
        <x:v>0</x:v>
      </x:c>
      <x:c r="AS191" t="n">
        <x:f>E191</x:f>
        <x:v>0</x:v>
      </x:c>
    </x:row>
    <x:row r="192">
      <x:c r="A192" s="60" t="str">
        <x:f>IF(C192="","",COUNTIF($C$10:C192,"&lt;&gt;"))</x:f>
      </x:c>
      <x:c r="B192" s="122" t="n"/>
      <x:c r="C192" s="87" t="n"/>
      <x:c r="D192" s="87" t="n"/>
      <x:c r="E192" s="87" t="n"/>
      <x:c r="F192" s="87" t="n"/>
      <x:c r="G192" s="87" t="n"/>
      <x:c r="H192" s="87" t="n"/>
      <x:c r="I192" s="87" t="n"/>
      <x:c r="J192" s="87" t="n"/>
      <x:c r="K192" s="87" t="n"/>
      <x:c r="L192" s="87" t="n"/>
      <x:c r="M192" s="87" t="n"/>
      <x:c r="N192" s="87" t="n"/>
      <x:c r="O192" s="62" t="str">
        <x:f>IF(G192="","",IF(G192="Single",AH192,IF(G192="Double",AI192,AJ192)))</x:f>
      </x:c>
      <x:c r="P192" s="62" t="str">
        <x:f>IF(OR(G192="",H192="Ikke spillet"),"",IF(G192="Single",O192,IF(J192="","",(O192+J192)/2)))</x:f>
      </x:c>
      <x:c r="Q192" s="62" t="str">
        <x:f>IF(OR(G192="",H192="Ikke spillet"),"",IF(G192="Single",L192,IF(OR(L192="",N192=""),"",(L192+N192)/2)))</x:f>
      </x:c>
      <x:c r="R192" s="62" t="str">
        <x:f>IF(OR(P192="",Q192=""),"",Q192-P192)</x:f>
      </x:c>
      <x:c r="S192" s="62" t="str">
        <x:f>IF(H192="Ikke spillet","",IF(R192="","",IF(ABS(R192)&lt;0.000001,"Lige (0)",VLOOKUP(ABS(R192),'BD Pointtabel'!$A$4:$G$15,2,TRUE))))</x:f>
      </x:c>
      <x:c r="T192" s="62" t="str">
        <x:f>IF(H192="Ikke spillet","Ikke spillet",IF(H192="Planlagt","Planlagt",IF(OR(H192="",P192="",Q192=""),"",IF(H192="Vundet",IF(R192&gt;0,"Uventet sejr","Ventet sejr"),IF(R192&gt;=0,"Ventet nederlag","Uventet nederlag")))))</x:f>
      </x:c>
      <x:c r="U192" s="62" t="str">
        <x:f>IF(OR(H192="Ikke spillet",H192="Planlagt"),"",IF(OR(G192="",H192="",P192="",Q192=""),"",IF(AND(F192="Ungdomsholdturnering",OR(G192="Double",G192="Mix"),H192="Tabt"),0,IF(H192="Vundet",IF(R192&gt;0,VLOOKUP(ABS(R192),'BD Pointtabel'!$A$4:$G$15,4,TRUE),VLOOKUP(ABS(R192),'BD Pointtabel'!$A$4:$G$15,7,TRUE)),IF(R192&gt;=0,VLOOKUP(ABS(R192),'BD Pointtabel'!$A$4:$G$15,6,TRUE),VLOOKUP(ABS(R192),'BD Pointtabel'!$A$4:$G$15,3,TRUE))))))</x:f>
      </x:c>
      <x:c r="V192" s="62" t="str">
        <x:f>IF(G192="","",SUMIFS($U$10:U192,$AG$10:AG192,AG192,$G$10:G192,G192))</x:f>
      </x:c>
      <x:c r="W192" s="62" t="str">
        <x:f>IF(C192="","",IF(AN192&lt;&gt;1,"",IF(G192="Single",AA192,IF(G192="Double",AC192,AE192))))</x:f>
      </x:c>
      <x:c r="X192" s="62" t="str">
        <x:f>IF(C192="","",IF(AN192&lt;&gt;1,"",ROUND(((AA192*AB192+AC192*AD192+AE192*AF192)/(AB192+AD192+AF192))+IF((MAX(AA192,AC192,AE192)-(AA192+AC192+AE192-MAX(AA192,AC192,AE192)-MIN(AA192,AC192,AE192)))&lt;'Model &amp; indstillinger'!$E$16,'Model &amp; indstillinger'!$E$18,'Model &amp; indstillinger'!$E$20)*(MAX(AA192,AC192,AE192)-((AA192*AB192+AC192*AD192+AE192*AF192)/(AB192+AD192+AF192))),0)))</x:f>
      </x:c>
      <x:c r="Y192" s="62" t="str">
        <x:f>IF(X192="","",'Model &amp; indstillinger'!$B$4-X192)</x:f>
      </x:c>
      <x:c r="Z192" s="62" t="str">
        <x:f>IF(C192="","",IF(H192="Planlagt","Planlagt – ingen point endnu",IF(H192="Ikke spillet","Ikke spillet – tæller ikke som kamp og giver ingen point",IF(AN192=1,"STÆVNE SLUT – samlet point tilskrives","Frosset pointgrundlag – ingen tilskrivning endnu"))))</x:f>
      </x:c>
      <x:c r="AA192" s="60" t="str">
        <x:f>IF(C192="","",'Model &amp; indstillinger'!$B$6+SUMIFS($U$10:U192,$G$10:G192,"Single"))</x:f>
      </x:c>
      <x:c r="AB192" s="60" t="str">
        <x:f>IF(C192="","",'Model &amp; indstillinger'!$B$7+COUNTIFS($G$10:G192,"Single",$AK$10:AK192,1))</x:f>
      </x:c>
      <x:c r="AC192" s="60" t="str">
        <x:f>IF(C192="","",'Model &amp; indstillinger'!$B$8+SUMIFS($U$10:U192,$G$10:G192,"Double"))</x:f>
      </x:c>
      <x:c r="AD192" s="60" t="str">
        <x:f>IF(C192="","",'Model &amp; indstillinger'!$B$9+COUNTIFS($G$10:G192,"Double",$AK$10:AK192,1))</x:f>
      </x:c>
      <x:c r="AE192" s="60" t="str">
        <x:f>IF(C192="","",'Model &amp; indstillinger'!$B$10+SUMIFS($U$10:U192,$G$10:G192,"Mix"))</x:f>
      </x:c>
      <x:c r="AF192" s="60" t="str">
        <x:f>IF(C192="","",'Model &amp; indstillinger'!$B$11+COUNTIFS($G$10:G192,"Mix",$AK$10:AK192,1))</x:f>
      </x:c>
      <x:c r="AG192" s="60" t="str">
        <x:f>IF(C192="","",IF(C192=C191,AG191,AG191+1))</x:f>
      </x:c>
      <x:c r="AH192" s="60" t="str">
        <x:f>IF(C192="","",IF(AG192=AG191,AH191,AA191))</x:f>
      </x:c>
      <x:c r="AI192" s="60" t="str">
        <x:f>IF(C192="","",IF(AG192=AG191,AI191,AC191))</x:f>
      </x:c>
      <x:c r="AJ192" s="60" t="str">
        <x:f>IF(C192="","",IF(AG192=AG191,AJ191,AE191))</x:f>
      </x:c>
      <x:c r="AK192" s="60" t="n">
        <x:f>IF(OR(H192="Vundet",H192="Tabt"),1,0)</x:f>
        <x:v>0</x:v>
      </x:c>
      <x:c r="AL192" s="60" t="n"/>
      <x:c r="AM192" s="60" t="n">
        <x:f>MAX($AG$10:$AG$209)</x:f>
        <x:v>4</x:v>
      </x:c>
      <x:c r="AN192" s="60" t="str">
        <x:f>IF(C192="","",IF(AND(C193&lt;&gt;"",C193&lt;&gt;C192),1,0))</x:f>
      </x:c>
      <x:c r="AO192" s="60" t="n"/>
      <x:c r="AP192" s="60" t="n">
        <x:f>MAX($AG$10:$AG$209)</x:f>
        <x:v>4</x:v>
      </x:c>
      <x:c r="AQ192" t="str">
        <x:f>AG192</x:f>
      </x:c>
      <x:c r="AR192" t="n">
        <x:f>C192</x:f>
        <x:v>0</x:v>
      </x:c>
      <x:c r="AS192" t="n">
        <x:f>E192</x:f>
        <x:v>0</x:v>
      </x:c>
    </x:row>
    <x:row r="193">
      <x:c r="A193" s="60" t="str">
        <x:f>IF(C193="","",COUNTIF($C$10:C193,"&lt;&gt;"))</x:f>
      </x:c>
      <x:c r="B193" s="122" t="n"/>
      <x:c r="C193" s="87" t="n"/>
      <x:c r="D193" s="87" t="n"/>
      <x:c r="E193" s="87" t="n"/>
      <x:c r="F193" s="87" t="n"/>
      <x:c r="G193" s="87" t="n"/>
      <x:c r="H193" s="87" t="n"/>
      <x:c r="I193" s="87" t="n"/>
      <x:c r="J193" s="87" t="n"/>
      <x:c r="K193" s="87" t="n"/>
      <x:c r="L193" s="87" t="n"/>
      <x:c r="M193" s="87" t="n"/>
      <x:c r="N193" s="87" t="n"/>
      <x:c r="O193" s="62" t="str">
        <x:f>IF(G193="","",IF(G193="Single",AH193,IF(G193="Double",AI193,AJ193)))</x:f>
      </x:c>
      <x:c r="P193" s="62" t="str">
        <x:f>IF(OR(G193="",H193="Ikke spillet"),"",IF(G193="Single",O193,IF(J193="","",(O193+J193)/2)))</x:f>
      </x:c>
      <x:c r="Q193" s="62" t="str">
        <x:f>IF(OR(G193="",H193="Ikke spillet"),"",IF(G193="Single",L193,IF(OR(L193="",N193=""),"",(L193+N193)/2)))</x:f>
      </x:c>
      <x:c r="R193" s="62" t="str">
        <x:f>IF(OR(P193="",Q193=""),"",Q193-P193)</x:f>
      </x:c>
      <x:c r="S193" s="62" t="str">
        <x:f>IF(H193="Ikke spillet","",IF(R193="","",IF(ABS(R193)&lt;0.000001,"Lige (0)",VLOOKUP(ABS(R193),'BD Pointtabel'!$A$4:$G$15,2,TRUE))))</x:f>
      </x:c>
      <x:c r="T193" s="62" t="str">
        <x:f>IF(H193="Ikke spillet","Ikke spillet",IF(H193="Planlagt","Planlagt",IF(OR(H193="",P193="",Q193=""),"",IF(H193="Vundet",IF(R193&gt;0,"Uventet sejr","Ventet sejr"),IF(R193&gt;=0,"Ventet nederlag","Uventet nederlag")))))</x:f>
      </x:c>
      <x:c r="U193" s="62" t="str">
        <x:f>IF(OR(H193="Ikke spillet",H193="Planlagt"),"",IF(OR(G193="",H193="",P193="",Q193=""),"",IF(AND(F193="Ungdomsholdturnering",OR(G193="Double",G193="Mix"),H193="Tabt"),0,IF(H193="Vundet",IF(R193&gt;0,VLOOKUP(ABS(R193),'BD Pointtabel'!$A$4:$G$15,4,TRUE),VLOOKUP(ABS(R193),'BD Pointtabel'!$A$4:$G$15,7,TRUE)),IF(R193&gt;=0,VLOOKUP(ABS(R193),'BD Pointtabel'!$A$4:$G$15,6,TRUE),VLOOKUP(ABS(R193),'BD Pointtabel'!$A$4:$G$15,3,TRUE))))))</x:f>
      </x:c>
      <x:c r="V193" s="62" t="str">
        <x:f>IF(G193="","",SUMIFS($U$10:U193,$AG$10:AG193,AG193,$G$10:G193,G193))</x:f>
      </x:c>
      <x:c r="W193" s="62" t="str">
        <x:f>IF(C193="","",IF(AN193&lt;&gt;1,"",IF(G193="Single",AA193,IF(G193="Double",AC193,AE193))))</x:f>
      </x:c>
      <x:c r="X193" s="62" t="str">
        <x:f>IF(C193="","",IF(AN193&lt;&gt;1,"",ROUND(((AA193*AB193+AC193*AD193+AE193*AF193)/(AB193+AD193+AF193))+IF((MAX(AA193,AC193,AE193)-(AA193+AC193+AE193-MAX(AA193,AC193,AE193)-MIN(AA193,AC193,AE193)))&lt;'Model &amp; indstillinger'!$E$16,'Model &amp; indstillinger'!$E$18,'Model &amp; indstillinger'!$E$20)*(MAX(AA193,AC193,AE193)-((AA193*AB193+AC193*AD193+AE193*AF193)/(AB193+AD193+AF193))),0)))</x:f>
      </x:c>
      <x:c r="Y193" s="62" t="str">
        <x:f>IF(X193="","",'Model &amp; indstillinger'!$B$4-X193)</x:f>
      </x:c>
      <x:c r="Z193" s="62" t="str">
        <x:f>IF(C193="","",IF(H193="Planlagt","Planlagt – ingen point endnu",IF(H193="Ikke spillet","Ikke spillet – tæller ikke som kamp og giver ingen point",IF(AN193=1,"STÆVNE SLUT – samlet point tilskrives","Frosset pointgrundlag – ingen tilskrivning endnu"))))</x:f>
      </x:c>
      <x:c r="AA193" s="60" t="str">
        <x:f>IF(C193="","",'Model &amp; indstillinger'!$B$6+SUMIFS($U$10:U193,$G$10:G193,"Single"))</x:f>
      </x:c>
      <x:c r="AB193" s="60" t="str">
        <x:f>IF(C193="","",'Model &amp; indstillinger'!$B$7+COUNTIFS($G$10:G193,"Single",$AK$10:AK193,1))</x:f>
      </x:c>
      <x:c r="AC193" s="60" t="str">
        <x:f>IF(C193="","",'Model &amp; indstillinger'!$B$8+SUMIFS($U$10:U193,$G$10:G193,"Double"))</x:f>
      </x:c>
      <x:c r="AD193" s="60" t="str">
        <x:f>IF(C193="","",'Model &amp; indstillinger'!$B$9+COUNTIFS($G$10:G193,"Double",$AK$10:AK193,1))</x:f>
      </x:c>
      <x:c r="AE193" s="60" t="str">
        <x:f>IF(C193="","",'Model &amp; indstillinger'!$B$10+SUMIFS($U$10:U193,$G$10:G193,"Mix"))</x:f>
      </x:c>
      <x:c r="AF193" s="60" t="str">
        <x:f>IF(C193="","",'Model &amp; indstillinger'!$B$11+COUNTIFS($G$10:G193,"Mix",$AK$10:AK193,1))</x:f>
      </x:c>
      <x:c r="AG193" s="60" t="str">
        <x:f>IF(C193="","",IF(C193=C192,AG192,AG192+1))</x:f>
      </x:c>
      <x:c r="AH193" s="60" t="str">
        <x:f>IF(C193="","",IF(AG193=AG192,AH192,AA192))</x:f>
      </x:c>
      <x:c r="AI193" s="60" t="str">
        <x:f>IF(C193="","",IF(AG193=AG192,AI192,AC192))</x:f>
      </x:c>
      <x:c r="AJ193" s="60" t="str">
        <x:f>IF(C193="","",IF(AG193=AG192,AJ192,AE192))</x:f>
      </x:c>
      <x:c r="AK193" s="60" t="n">
        <x:f>IF(OR(H193="Vundet",H193="Tabt"),1,0)</x:f>
        <x:v>0</x:v>
      </x:c>
      <x:c r="AL193" s="60" t="n"/>
      <x:c r="AM193" s="60" t="n">
        <x:f>MAX($AG$10:$AG$209)</x:f>
        <x:v>4</x:v>
      </x:c>
      <x:c r="AN193" s="60" t="str">
        <x:f>IF(C193="","",IF(AND(C194&lt;&gt;"",C194&lt;&gt;C193),1,0))</x:f>
      </x:c>
      <x:c r="AO193" s="60" t="n"/>
      <x:c r="AP193" s="60" t="n">
        <x:f>MAX($AG$10:$AG$209)</x:f>
        <x:v>4</x:v>
      </x:c>
      <x:c r="AQ193" t="str">
        <x:f>AG193</x:f>
      </x:c>
      <x:c r="AR193" t="n">
        <x:f>C193</x:f>
        <x:v>0</x:v>
      </x:c>
      <x:c r="AS193" t="n">
        <x:f>E193</x:f>
        <x:v>0</x:v>
      </x:c>
    </x:row>
    <x:row r="194">
      <x:c r="A194" s="60" t="str">
        <x:f>IF(C194="","",COUNTIF($C$10:C194,"&lt;&gt;"))</x:f>
      </x:c>
      <x:c r="B194" s="122" t="n"/>
      <x:c r="C194" s="87" t="n"/>
      <x:c r="D194" s="87" t="n"/>
      <x:c r="E194" s="87" t="n"/>
      <x:c r="F194" s="87" t="n"/>
      <x:c r="G194" s="87" t="n"/>
      <x:c r="H194" s="87" t="n"/>
      <x:c r="I194" s="87" t="n"/>
      <x:c r="J194" s="87" t="n"/>
      <x:c r="K194" s="87" t="n"/>
      <x:c r="L194" s="87" t="n"/>
      <x:c r="M194" s="87" t="n"/>
      <x:c r="N194" s="87" t="n"/>
      <x:c r="O194" s="62" t="str">
        <x:f>IF(G194="","",IF(G194="Single",AH194,IF(G194="Double",AI194,AJ194)))</x:f>
      </x:c>
      <x:c r="P194" s="62" t="str">
        <x:f>IF(OR(G194="",H194="Ikke spillet"),"",IF(G194="Single",O194,IF(J194="","",(O194+J194)/2)))</x:f>
      </x:c>
      <x:c r="Q194" s="62" t="str">
        <x:f>IF(OR(G194="",H194="Ikke spillet"),"",IF(G194="Single",L194,IF(OR(L194="",N194=""),"",(L194+N194)/2)))</x:f>
      </x:c>
      <x:c r="R194" s="62" t="str">
        <x:f>IF(OR(P194="",Q194=""),"",Q194-P194)</x:f>
      </x:c>
      <x:c r="S194" s="62" t="str">
        <x:f>IF(H194="Ikke spillet","",IF(R194="","",IF(ABS(R194)&lt;0.000001,"Lige (0)",VLOOKUP(ABS(R194),'BD Pointtabel'!$A$4:$G$15,2,TRUE))))</x:f>
      </x:c>
      <x:c r="T194" s="62" t="str">
        <x:f>IF(H194="Ikke spillet","Ikke spillet",IF(H194="Planlagt","Planlagt",IF(OR(H194="",P194="",Q194=""),"",IF(H194="Vundet",IF(R194&gt;0,"Uventet sejr","Ventet sejr"),IF(R194&gt;=0,"Ventet nederlag","Uventet nederlag")))))</x:f>
      </x:c>
      <x:c r="U194" s="62" t="str">
        <x:f>IF(OR(H194="Ikke spillet",H194="Planlagt"),"",IF(OR(G194="",H194="",P194="",Q194=""),"",IF(AND(F194="Ungdomsholdturnering",OR(G194="Double",G194="Mix"),H194="Tabt"),0,IF(H194="Vundet",IF(R194&gt;0,VLOOKUP(ABS(R194),'BD Pointtabel'!$A$4:$G$15,4,TRUE),VLOOKUP(ABS(R194),'BD Pointtabel'!$A$4:$G$15,7,TRUE)),IF(R194&gt;=0,VLOOKUP(ABS(R194),'BD Pointtabel'!$A$4:$G$15,6,TRUE),VLOOKUP(ABS(R194),'BD Pointtabel'!$A$4:$G$15,3,TRUE))))))</x:f>
      </x:c>
      <x:c r="V194" s="62" t="str">
        <x:f>IF(G194="","",SUMIFS($U$10:U194,$AG$10:AG194,AG194,$G$10:G194,G194))</x:f>
      </x:c>
      <x:c r="W194" s="62" t="str">
        <x:f>IF(C194="","",IF(AN194&lt;&gt;1,"",IF(G194="Single",AA194,IF(G194="Double",AC194,AE194))))</x:f>
      </x:c>
      <x:c r="X194" s="62" t="str">
        <x:f>IF(C194="","",IF(AN194&lt;&gt;1,"",ROUND(((AA194*AB194+AC194*AD194+AE194*AF194)/(AB194+AD194+AF194))+IF((MAX(AA194,AC194,AE194)-(AA194+AC194+AE194-MAX(AA194,AC194,AE194)-MIN(AA194,AC194,AE194)))&lt;'Model &amp; indstillinger'!$E$16,'Model &amp; indstillinger'!$E$18,'Model &amp; indstillinger'!$E$20)*(MAX(AA194,AC194,AE194)-((AA194*AB194+AC194*AD194+AE194*AF194)/(AB194+AD194+AF194))),0)))</x:f>
      </x:c>
      <x:c r="Y194" s="62" t="str">
        <x:f>IF(X194="","",'Model &amp; indstillinger'!$B$4-X194)</x:f>
      </x:c>
      <x:c r="Z194" s="62" t="str">
        <x:f>IF(C194="","",IF(H194="Planlagt","Planlagt – ingen point endnu",IF(H194="Ikke spillet","Ikke spillet – tæller ikke som kamp og giver ingen point",IF(AN194=1,"STÆVNE SLUT – samlet point tilskrives","Frosset pointgrundlag – ingen tilskrivning endnu"))))</x:f>
      </x:c>
      <x:c r="AA194" s="60" t="str">
        <x:f>IF(C194="","",'Model &amp; indstillinger'!$B$6+SUMIFS($U$10:U194,$G$10:G194,"Single"))</x:f>
      </x:c>
      <x:c r="AB194" s="60" t="str">
        <x:f>IF(C194="","",'Model &amp; indstillinger'!$B$7+COUNTIFS($G$10:G194,"Single",$AK$10:AK194,1))</x:f>
      </x:c>
      <x:c r="AC194" s="60" t="str">
        <x:f>IF(C194="","",'Model &amp; indstillinger'!$B$8+SUMIFS($U$10:U194,$G$10:G194,"Double"))</x:f>
      </x:c>
      <x:c r="AD194" s="60" t="str">
        <x:f>IF(C194="","",'Model &amp; indstillinger'!$B$9+COUNTIFS($G$10:G194,"Double",$AK$10:AK194,1))</x:f>
      </x:c>
      <x:c r="AE194" s="60" t="str">
        <x:f>IF(C194="","",'Model &amp; indstillinger'!$B$10+SUMIFS($U$10:U194,$G$10:G194,"Mix"))</x:f>
      </x:c>
      <x:c r="AF194" s="60" t="str">
        <x:f>IF(C194="","",'Model &amp; indstillinger'!$B$11+COUNTIFS($G$10:G194,"Mix",$AK$10:AK194,1))</x:f>
      </x:c>
      <x:c r="AG194" s="60" t="str">
        <x:f>IF(C194="","",IF(C194=C193,AG193,AG193+1))</x:f>
      </x:c>
      <x:c r="AH194" s="60" t="str">
        <x:f>IF(C194="","",IF(AG194=AG193,AH193,AA193))</x:f>
      </x:c>
      <x:c r="AI194" s="60" t="str">
        <x:f>IF(C194="","",IF(AG194=AG193,AI193,AC193))</x:f>
      </x:c>
      <x:c r="AJ194" s="60" t="str">
        <x:f>IF(C194="","",IF(AG194=AG193,AJ193,AE193))</x:f>
      </x:c>
      <x:c r="AK194" s="60" t="n">
        <x:f>IF(OR(H194="Vundet",H194="Tabt"),1,0)</x:f>
        <x:v>0</x:v>
      </x:c>
      <x:c r="AL194" s="60" t="n"/>
      <x:c r="AM194" s="60" t="n">
        <x:f>MAX($AG$10:$AG$209)</x:f>
        <x:v>4</x:v>
      </x:c>
      <x:c r="AN194" s="60" t="str">
        <x:f>IF(C194="","",IF(AND(C195&lt;&gt;"",C195&lt;&gt;C194),1,0))</x:f>
      </x:c>
      <x:c r="AO194" s="60" t="n"/>
      <x:c r="AP194" s="60" t="n">
        <x:f>MAX($AG$10:$AG$209)</x:f>
        <x:v>4</x:v>
      </x:c>
      <x:c r="AQ194" t="str">
        <x:f>AG194</x:f>
      </x:c>
      <x:c r="AR194" t="n">
        <x:f>C194</x:f>
        <x:v>0</x:v>
      </x:c>
      <x:c r="AS194" t="n">
        <x:f>E194</x:f>
        <x:v>0</x:v>
      </x:c>
    </x:row>
    <x:row r="195">
      <x:c r="A195" s="60" t="str">
        <x:f>IF(C195="","",COUNTIF($C$10:C195,"&lt;&gt;"))</x:f>
      </x:c>
      <x:c r="B195" s="122" t="n"/>
      <x:c r="C195" s="87" t="n"/>
      <x:c r="D195" s="87" t="n"/>
      <x:c r="E195" s="87" t="n"/>
      <x:c r="F195" s="87" t="n"/>
      <x:c r="G195" s="87" t="n"/>
      <x:c r="H195" s="87" t="n"/>
      <x:c r="I195" s="87" t="n"/>
      <x:c r="J195" s="87" t="n"/>
      <x:c r="K195" s="87" t="n"/>
      <x:c r="L195" s="87" t="n"/>
      <x:c r="M195" s="87" t="n"/>
      <x:c r="N195" s="87" t="n"/>
      <x:c r="O195" s="62" t="str">
        <x:f>IF(G195="","",IF(G195="Single",AH195,IF(G195="Double",AI195,AJ195)))</x:f>
      </x:c>
      <x:c r="P195" s="62" t="str">
        <x:f>IF(OR(G195="",H195="Ikke spillet"),"",IF(G195="Single",O195,IF(J195="","",(O195+J195)/2)))</x:f>
      </x:c>
      <x:c r="Q195" s="62" t="str">
        <x:f>IF(OR(G195="",H195="Ikke spillet"),"",IF(G195="Single",L195,IF(OR(L195="",N195=""),"",(L195+N195)/2)))</x:f>
      </x:c>
      <x:c r="R195" s="62" t="str">
        <x:f>IF(OR(P195="",Q195=""),"",Q195-P195)</x:f>
      </x:c>
      <x:c r="S195" s="62" t="str">
        <x:f>IF(H195="Ikke spillet","",IF(R195="","",IF(ABS(R195)&lt;0.000001,"Lige (0)",VLOOKUP(ABS(R195),'BD Pointtabel'!$A$4:$G$15,2,TRUE))))</x:f>
      </x:c>
      <x:c r="T195" s="62" t="str">
        <x:f>IF(H195="Ikke spillet","Ikke spillet",IF(H195="Planlagt","Planlagt",IF(OR(H195="",P195="",Q195=""),"",IF(H195="Vundet",IF(R195&gt;0,"Uventet sejr","Ventet sejr"),IF(R195&gt;=0,"Ventet nederlag","Uventet nederlag")))))</x:f>
      </x:c>
      <x:c r="U195" s="62" t="str">
        <x:f>IF(OR(H195="Ikke spillet",H195="Planlagt"),"",IF(OR(G195="",H195="",P195="",Q195=""),"",IF(AND(F195="Ungdomsholdturnering",OR(G195="Double",G195="Mix"),H195="Tabt"),0,IF(H195="Vundet",IF(R195&gt;0,VLOOKUP(ABS(R195),'BD Pointtabel'!$A$4:$G$15,4,TRUE),VLOOKUP(ABS(R195),'BD Pointtabel'!$A$4:$G$15,7,TRUE)),IF(R195&gt;=0,VLOOKUP(ABS(R195),'BD Pointtabel'!$A$4:$G$15,6,TRUE),VLOOKUP(ABS(R195),'BD Pointtabel'!$A$4:$G$15,3,TRUE))))))</x:f>
      </x:c>
      <x:c r="V195" s="62" t="str">
        <x:f>IF(G195="","",SUMIFS($U$10:U195,$AG$10:AG195,AG195,$G$10:G195,G195))</x:f>
      </x:c>
      <x:c r="W195" s="62" t="str">
        <x:f>IF(C195="","",IF(AN195&lt;&gt;1,"",IF(G195="Single",AA195,IF(G195="Double",AC195,AE195))))</x:f>
      </x:c>
      <x:c r="X195" s="62" t="str">
        <x:f>IF(C195="","",IF(AN195&lt;&gt;1,"",ROUND(((AA195*AB195+AC195*AD195+AE195*AF195)/(AB195+AD195+AF195))+IF((MAX(AA195,AC195,AE195)-(AA195+AC195+AE195-MAX(AA195,AC195,AE195)-MIN(AA195,AC195,AE195)))&lt;'Model &amp; indstillinger'!$E$16,'Model &amp; indstillinger'!$E$18,'Model &amp; indstillinger'!$E$20)*(MAX(AA195,AC195,AE195)-((AA195*AB195+AC195*AD195+AE195*AF195)/(AB195+AD195+AF195))),0)))</x:f>
      </x:c>
      <x:c r="Y195" s="62" t="str">
        <x:f>IF(X195="","",'Model &amp; indstillinger'!$B$4-X195)</x:f>
      </x:c>
      <x:c r="Z195" s="62" t="str">
        <x:f>IF(C195="","",IF(H195="Planlagt","Planlagt – ingen point endnu",IF(H195="Ikke spillet","Ikke spillet – tæller ikke som kamp og giver ingen point",IF(AN195=1,"STÆVNE SLUT – samlet point tilskrives","Frosset pointgrundlag – ingen tilskrivning endnu"))))</x:f>
      </x:c>
      <x:c r="AA195" s="60" t="str">
        <x:f>IF(C195="","",'Model &amp; indstillinger'!$B$6+SUMIFS($U$10:U195,$G$10:G195,"Single"))</x:f>
      </x:c>
      <x:c r="AB195" s="60" t="str">
        <x:f>IF(C195="","",'Model &amp; indstillinger'!$B$7+COUNTIFS($G$10:G195,"Single",$AK$10:AK195,1))</x:f>
      </x:c>
      <x:c r="AC195" s="60" t="str">
        <x:f>IF(C195="","",'Model &amp; indstillinger'!$B$8+SUMIFS($U$10:U195,$G$10:G195,"Double"))</x:f>
      </x:c>
      <x:c r="AD195" s="60" t="str">
        <x:f>IF(C195="","",'Model &amp; indstillinger'!$B$9+COUNTIFS($G$10:G195,"Double",$AK$10:AK195,1))</x:f>
      </x:c>
      <x:c r="AE195" s="60" t="str">
        <x:f>IF(C195="","",'Model &amp; indstillinger'!$B$10+SUMIFS($U$10:U195,$G$10:G195,"Mix"))</x:f>
      </x:c>
      <x:c r="AF195" s="60" t="str">
        <x:f>IF(C195="","",'Model &amp; indstillinger'!$B$11+COUNTIFS($G$10:G195,"Mix",$AK$10:AK195,1))</x:f>
      </x:c>
      <x:c r="AG195" s="60" t="str">
        <x:f>IF(C195="","",IF(C195=C194,AG194,AG194+1))</x:f>
      </x:c>
      <x:c r="AH195" s="60" t="str">
        <x:f>IF(C195="","",IF(AG195=AG194,AH194,AA194))</x:f>
      </x:c>
      <x:c r="AI195" s="60" t="str">
        <x:f>IF(C195="","",IF(AG195=AG194,AI194,AC194))</x:f>
      </x:c>
      <x:c r="AJ195" s="60" t="str">
        <x:f>IF(C195="","",IF(AG195=AG194,AJ194,AE194))</x:f>
      </x:c>
      <x:c r="AK195" s="60" t="n">
        <x:f>IF(OR(H195="Vundet",H195="Tabt"),1,0)</x:f>
        <x:v>0</x:v>
      </x:c>
      <x:c r="AL195" s="60" t="n"/>
      <x:c r="AM195" s="60" t="n">
        <x:f>MAX($AG$10:$AG$209)</x:f>
        <x:v>4</x:v>
      </x:c>
      <x:c r="AN195" s="60" t="str">
        <x:f>IF(C195="","",IF(AND(C196&lt;&gt;"",C196&lt;&gt;C195),1,0))</x:f>
      </x:c>
      <x:c r="AO195" s="60" t="n"/>
      <x:c r="AP195" s="60" t="n">
        <x:f>MAX($AG$10:$AG$209)</x:f>
        <x:v>4</x:v>
      </x:c>
      <x:c r="AQ195" t="str">
        <x:f>AG195</x:f>
      </x:c>
      <x:c r="AR195" t="n">
        <x:f>C195</x:f>
        <x:v>0</x:v>
      </x:c>
      <x:c r="AS195" t="n">
        <x:f>E195</x:f>
        <x:v>0</x:v>
      </x:c>
    </x:row>
    <x:row r="196">
      <x:c r="A196" s="60" t="str">
        <x:f>IF(C196="","",COUNTIF($C$10:C196,"&lt;&gt;"))</x:f>
      </x:c>
      <x:c r="B196" s="122" t="n"/>
      <x:c r="C196" s="87" t="n"/>
      <x:c r="D196" s="87" t="n"/>
      <x:c r="E196" s="87" t="n"/>
      <x:c r="F196" s="87" t="n"/>
      <x:c r="G196" s="87" t="n"/>
      <x:c r="H196" s="87" t="n"/>
      <x:c r="I196" s="87" t="n"/>
      <x:c r="J196" s="87" t="n"/>
      <x:c r="K196" s="87" t="n"/>
      <x:c r="L196" s="87" t="n"/>
      <x:c r="M196" s="87" t="n"/>
      <x:c r="N196" s="87" t="n"/>
      <x:c r="O196" s="62" t="str">
        <x:f>IF(G196="","",IF(G196="Single",AH196,IF(G196="Double",AI196,AJ196)))</x:f>
      </x:c>
      <x:c r="P196" s="62" t="str">
        <x:f>IF(OR(G196="",H196="Ikke spillet"),"",IF(G196="Single",O196,IF(J196="","",(O196+J196)/2)))</x:f>
      </x:c>
      <x:c r="Q196" s="62" t="str">
        <x:f>IF(OR(G196="",H196="Ikke spillet"),"",IF(G196="Single",L196,IF(OR(L196="",N196=""),"",(L196+N196)/2)))</x:f>
      </x:c>
      <x:c r="R196" s="62" t="str">
        <x:f>IF(OR(P196="",Q196=""),"",Q196-P196)</x:f>
      </x:c>
      <x:c r="S196" s="62" t="str">
        <x:f>IF(H196="Ikke spillet","",IF(R196="","",IF(ABS(R196)&lt;0.000001,"Lige (0)",VLOOKUP(ABS(R196),'BD Pointtabel'!$A$4:$G$15,2,TRUE))))</x:f>
      </x:c>
      <x:c r="T196" s="62" t="str">
        <x:f>IF(H196="Ikke spillet","Ikke spillet",IF(H196="Planlagt","Planlagt",IF(OR(H196="",P196="",Q196=""),"",IF(H196="Vundet",IF(R196&gt;0,"Uventet sejr","Ventet sejr"),IF(R196&gt;=0,"Ventet nederlag","Uventet nederlag")))))</x:f>
      </x:c>
      <x:c r="U196" s="62" t="str">
        <x:f>IF(OR(H196="Ikke spillet",H196="Planlagt"),"",IF(OR(G196="",H196="",P196="",Q196=""),"",IF(AND(F196="Ungdomsholdturnering",OR(G196="Double",G196="Mix"),H196="Tabt"),0,IF(H196="Vundet",IF(R196&gt;0,VLOOKUP(ABS(R196),'BD Pointtabel'!$A$4:$G$15,4,TRUE),VLOOKUP(ABS(R196),'BD Pointtabel'!$A$4:$G$15,7,TRUE)),IF(R196&gt;=0,VLOOKUP(ABS(R196),'BD Pointtabel'!$A$4:$G$15,6,TRUE),VLOOKUP(ABS(R196),'BD Pointtabel'!$A$4:$G$15,3,TRUE))))))</x:f>
      </x:c>
      <x:c r="V196" s="62" t="str">
        <x:f>IF(G196="","",SUMIFS($U$10:U196,$AG$10:AG196,AG196,$G$10:G196,G196))</x:f>
      </x:c>
      <x:c r="W196" s="62" t="str">
        <x:f>IF(C196="","",IF(AN196&lt;&gt;1,"",IF(G196="Single",AA196,IF(G196="Double",AC196,AE196))))</x:f>
      </x:c>
      <x:c r="X196" s="62" t="str">
        <x:f>IF(C196="","",IF(AN196&lt;&gt;1,"",ROUND(((AA196*AB196+AC196*AD196+AE196*AF196)/(AB196+AD196+AF196))+IF((MAX(AA196,AC196,AE196)-(AA196+AC196+AE196-MAX(AA196,AC196,AE196)-MIN(AA196,AC196,AE196)))&lt;'Model &amp; indstillinger'!$E$16,'Model &amp; indstillinger'!$E$18,'Model &amp; indstillinger'!$E$20)*(MAX(AA196,AC196,AE196)-((AA196*AB196+AC196*AD196+AE196*AF196)/(AB196+AD196+AF196))),0)))</x:f>
      </x:c>
      <x:c r="Y196" s="62" t="str">
        <x:f>IF(X196="","",'Model &amp; indstillinger'!$B$4-X196)</x:f>
      </x:c>
      <x:c r="Z196" s="62" t="str">
        <x:f>IF(C196="","",IF(H196="Planlagt","Planlagt – ingen point endnu",IF(H196="Ikke spillet","Ikke spillet – tæller ikke som kamp og giver ingen point",IF(AN196=1,"STÆVNE SLUT – samlet point tilskrives","Frosset pointgrundlag – ingen tilskrivning endnu"))))</x:f>
      </x:c>
      <x:c r="AA196" s="60" t="str">
        <x:f>IF(C196="","",'Model &amp; indstillinger'!$B$6+SUMIFS($U$10:U196,$G$10:G196,"Single"))</x:f>
      </x:c>
      <x:c r="AB196" s="60" t="str">
        <x:f>IF(C196="","",'Model &amp; indstillinger'!$B$7+COUNTIFS($G$10:G196,"Single",$AK$10:AK196,1))</x:f>
      </x:c>
      <x:c r="AC196" s="60" t="str">
        <x:f>IF(C196="","",'Model &amp; indstillinger'!$B$8+SUMIFS($U$10:U196,$G$10:G196,"Double"))</x:f>
      </x:c>
      <x:c r="AD196" s="60" t="str">
        <x:f>IF(C196="","",'Model &amp; indstillinger'!$B$9+COUNTIFS($G$10:G196,"Double",$AK$10:AK196,1))</x:f>
      </x:c>
      <x:c r="AE196" s="60" t="str">
        <x:f>IF(C196="","",'Model &amp; indstillinger'!$B$10+SUMIFS($U$10:U196,$G$10:G196,"Mix"))</x:f>
      </x:c>
      <x:c r="AF196" s="60" t="str">
        <x:f>IF(C196="","",'Model &amp; indstillinger'!$B$11+COUNTIFS($G$10:G196,"Mix",$AK$10:AK196,1))</x:f>
      </x:c>
      <x:c r="AG196" s="60" t="str">
        <x:f>IF(C196="","",IF(C196=C195,AG195,AG195+1))</x:f>
      </x:c>
      <x:c r="AH196" s="60" t="str">
        <x:f>IF(C196="","",IF(AG196=AG195,AH195,AA195))</x:f>
      </x:c>
      <x:c r="AI196" s="60" t="str">
        <x:f>IF(C196="","",IF(AG196=AG195,AI195,AC195))</x:f>
      </x:c>
      <x:c r="AJ196" s="60" t="str">
        <x:f>IF(C196="","",IF(AG196=AG195,AJ195,AE195))</x:f>
      </x:c>
      <x:c r="AK196" s="60" t="n">
        <x:f>IF(OR(H196="Vundet",H196="Tabt"),1,0)</x:f>
        <x:v>0</x:v>
      </x:c>
      <x:c r="AL196" s="60" t="n"/>
      <x:c r="AM196" s="60" t="n">
        <x:f>MAX($AG$10:$AG$209)</x:f>
        <x:v>4</x:v>
      </x:c>
      <x:c r="AN196" s="60" t="str">
        <x:f>IF(C196="","",IF(AND(C197&lt;&gt;"",C197&lt;&gt;C196),1,0))</x:f>
      </x:c>
      <x:c r="AO196" s="60" t="n"/>
      <x:c r="AP196" s="60" t="n">
        <x:f>MAX($AG$10:$AG$209)</x:f>
        <x:v>4</x:v>
      </x:c>
      <x:c r="AQ196" t="str">
        <x:f>AG196</x:f>
      </x:c>
      <x:c r="AR196" t="n">
        <x:f>C196</x:f>
        <x:v>0</x:v>
      </x:c>
      <x:c r="AS196" t="n">
        <x:f>E196</x:f>
        <x:v>0</x:v>
      </x:c>
    </x:row>
    <x:row r="197">
      <x:c r="A197" s="60" t="str">
        <x:f>IF(C197="","",COUNTIF($C$10:C197,"&lt;&gt;"))</x:f>
      </x:c>
      <x:c r="B197" s="122" t="n"/>
      <x:c r="C197" s="87" t="n"/>
      <x:c r="D197" s="87" t="n"/>
      <x:c r="E197" s="87" t="n"/>
      <x:c r="F197" s="87" t="n"/>
      <x:c r="G197" s="87" t="n"/>
      <x:c r="H197" s="87" t="n"/>
      <x:c r="I197" s="87" t="n"/>
      <x:c r="J197" s="87" t="n"/>
      <x:c r="K197" s="87" t="n"/>
      <x:c r="L197" s="87" t="n"/>
      <x:c r="M197" s="87" t="n"/>
      <x:c r="N197" s="87" t="n"/>
      <x:c r="O197" s="62" t="str">
        <x:f>IF(G197="","",IF(G197="Single",AH197,IF(G197="Double",AI197,AJ197)))</x:f>
      </x:c>
      <x:c r="P197" s="62" t="str">
        <x:f>IF(OR(G197="",H197="Ikke spillet"),"",IF(G197="Single",O197,IF(J197="","",(O197+J197)/2)))</x:f>
      </x:c>
      <x:c r="Q197" s="62" t="str">
        <x:f>IF(OR(G197="",H197="Ikke spillet"),"",IF(G197="Single",L197,IF(OR(L197="",N197=""),"",(L197+N197)/2)))</x:f>
      </x:c>
      <x:c r="R197" s="62" t="str">
        <x:f>IF(OR(P197="",Q197=""),"",Q197-P197)</x:f>
      </x:c>
      <x:c r="S197" s="62" t="str">
        <x:f>IF(H197="Ikke spillet","",IF(R197="","",IF(ABS(R197)&lt;0.000001,"Lige (0)",VLOOKUP(ABS(R197),'BD Pointtabel'!$A$4:$G$15,2,TRUE))))</x:f>
      </x:c>
      <x:c r="T197" s="62" t="str">
        <x:f>IF(H197="Ikke spillet","Ikke spillet",IF(H197="Planlagt","Planlagt",IF(OR(H197="",P197="",Q197=""),"",IF(H197="Vundet",IF(R197&gt;0,"Uventet sejr","Ventet sejr"),IF(R197&gt;=0,"Ventet nederlag","Uventet nederlag")))))</x:f>
      </x:c>
      <x:c r="U197" s="62" t="str">
        <x:f>IF(OR(H197="Ikke spillet",H197="Planlagt"),"",IF(OR(G197="",H197="",P197="",Q197=""),"",IF(AND(F197="Ungdomsholdturnering",OR(G197="Double",G197="Mix"),H197="Tabt"),0,IF(H197="Vundet",IF(R197&gt;0,VLOOKUP(ABS(R197),'BD Pointtabel'!$A$4:$G$15,4,TRUE),VLOOKUP(ABS(R197),'BD Pointtabel'!$A$4:$G$15,7,TRUE)),IF(R197&gt;=0,VLOOKUP(ABS(R197),'BD Pointtabel'!$A$4:$G$15,6,TRUE),VLOOKUP(ABS(R197),'BD Pointtabel'!$A$4:$G$15,3,TRUE))))))</x:f>
      </x:c>
      <x:c r="V197" s="62" t="str">
        <x:f>IF(G197="","",SUMIFS($U$10:U197,$AG$10:AG197,AG197,$G$10:G197,G197))</x:f>
      </x:c>
      <x:c r="W197" s="62" t="str">
        <x:f>IF(C197="","",IF(AN197&lt;&gt;1,"",IF(G197="Single",AA197,IF(G197="Double",AC197,AE197))))</x:f>
      </x:c>
      <x:c r="X197" s="62" t="str">
        <x:f>IF(C197="","",IF(AN197&lt;&gt;1,"",ROUND(((AA197*AB197+AC197*AD197+AE197*AF197)/(AB197+AD197+AF197))+IF((MAX(AA197,AC197,AE197)-(AA197+AC197+AE197-MAX(AA197,AC197,AE197)-MIN(AA197,AC197,AE197)))&lt;'Model &amp; indstillinger'!$E$16,'Model &amp; indstillinger'!$E$18,'Model &amp; indstillinger'!$E$20)*(MAX(AA197,AC197,AE197)-((AA197*AB197+AC197*AD197+AE197*AF197)/(AB197+AD197+AF197))),0)))</x:f>
      </x:c>
      <x:c r="Y197" s="62" t="str">
        <x:f>IF(X197="","",'Model &amp; indstillinger'!$B$4-X197)</x:f>
      </x:c>
      <x:c r="Z197" s="62" t="str">
        <x:f>IF(C197="","",IF(H197="Planlagt","Planlagt – ingen point endnu",IF(H197="Ikke spillet","Ikke spillet – tæller ikke som kamp og giver ingen point",IF(AN197=1,"STÆVNE SLUT – samlet point tilskrives","Frosset pointgrundlag – ingen tilskrivning endnu"))))</x:f>
      </x:c>
      <x:c r="AA197" s="60" t="str">
        <x:f>IF(C197="","",'Model &amp; indstillinger'!$B$6+SUMIFS($U$10:U197,$G$10:G197,"Single"))</x:f>
      </x:c>
      <x:c r="AB197" s="60" t="str">
        <x:f>IF(C197="","",'Model &amp; indstillinger'!$B$7+COUNTIFS($G$10:G197,"Single",$AK$10:AK197,1))</x:f>
      </x:c>
      <x:c r="AC197" s="60" t="str">
        <x:f>IF(C197="","",'Model &amp; indstillinger'!$B$8+SUMIFS($U$10:U197,$G$10:G197,"Double"))</x:f>
      </x:c>
      <x:c r="AD197" s="60" t="str">
        <x:f>IF(C197="","",'Model &amp; indstillinger'!$B$9+COUNTIFS($G$10:G197,"Double",$AK$10:AK197,1))</x:f>
      </x:c>
      <x:c r="AE197" s="60" t="str">
        <x:f>IF(C197="","",'Model &amp; indstillinger'!$B$10+SUMIFS($U$10:U197,$G$10:G197,"Mix"))</x:f>
      </x:c>
      <x:c r="AF197" s="60" t="str">
        <x:f>IF(C197="","",'Model &amp; indstillinger'!$B$11+COUNTIFS($G$10:G197,"Mix",$AK$10:AK197,1))</x:f>
      </x:c>
      <x:c r="AG197" s="60" t="str">
        <x:f>IF(C197="","",IF(C197=C196,AG196,AG196+1))</x:f>
      </x:c>
      <x:c r="AH197" s="60" t="str">
        <x:f>IF(C197="","",IF(AG197=AG196,AH196,AA196))</x:f>
      </x:c>
      <x:c r="AI197" s="60" t="str">
        <x:f>IF(C197="","",IF(AG197=AG196,AI196,AC196))</x:f>
      </x:c>
      <x:c r="AJ197" s="60" t="str">
        <x:f>IF(C197="","",IF(AG197=AG196,AJ196,AE196))</x:f>
      </x:c>
      <x:c r="AK197" s="60" t="n">
        <x:f>IF(OR(H197="Vundet",H197="Tabt"),1,0)</x:f>
        <x:v>0</x:v>
      </x:c>
      <x:c r="AL197" s="60" t="n"/>
      <x:c r="AM197" s="60" t="n">
        <x:f>MAX($AG$10:$AG$209)</x:f>
        <x:v>4</x:v>
      </x:c>
      <x:c r="AN197" s="60" t="str">
        <x:f>IF(C197="","",IF(AND(C198&lt;&gt;"",C198&lt;&gt;C197),1,0))</x:f>
      </x:c>
      <x:c r="AO197" s="60" t="n"/>
      <x:c r="AP197" s="60" t="n">
        <x:f>MAX($AG$10:$AG$209)</x:f>
        <x:v>4</x:v>
      </x:c>
      <x:c r="AQ197" t="str">
        <x:f>AG197</x:f>
      </x:c>
      <x:c r="AR197" t="n">
        <x:f>C197</x:f>
        <x:v>0</x:v>
      </x:c>
      <x:c r="AS197" t="n">
        <x:f>E197</x:f>
        <x:v>0</x:v>
      </x:c>
    </x:row>
    <x:row r="198">
      <x:c r="A198" s="60" t="str">
        <x:f>IF(C198="","",COUNTIF($C$10:C198,"&lt;&gt;"))</x:f>
      </x:c>
      <x:c r="B198" s="122" t="n"/>
      <x:c r="C198" s="87" t="n"/>
      <x:c r="D198" s="87" t="n"/>
      <x:c r="E198" s="87" t="n"/>
      <x:c r="F198" s="87" t="n"/>
      <x:c r="G198" s="87" t="n"/>
      <x:c r="H198" s="87" t="n"/>
      <x:c r="I198" s="87" t="n"/>
      <x:c r="J198" s="87" t="n"/>
      <x:c r="K198" s="87" t="n"/>
      <x:c r="L198" s="87" t="n"/>
      <x:c r="M198" s="87" t="n"/>
      <x:c r="N198" s="87" t="n"/>
      <x:c r="O198" s="62" t="str">
        <x:f>IF(G198="","",IF(G198="Single",AH198,IF(G198="Double",AI198,AJ198)))</x:f>
      </x:c>
      <x:c r="P198" s="62" t="str">
        <x:f>IF(OR(G198="",H198="Ikke spillet"),"",IF(G198="Single",O198,IF(J198="","",(O198+J198)/2)))</x:f>
      </x:c>
      <x:c r="Q198" s="62" t="str">
        <x:f>IF(OR(G198="",H198="Ikke spillet"),"",IF(G198="Single",L198,IF(OR(L198="",N198=""),"",(L198+N198)/2)))</x:f>
      </x:c>
      <x:c r="R198" s="62" t="str">
        <x:f>IF(OR(P198="",Q198=""),"",Q198-P198)</x:f>
      </x:c>
      <x:c r="S198" s="62" t="str">
        <x:f>IF(H198="Ikke spillet","",IF(R198="","",IF(ABS(R198)&lt;0.000001,"Lige (0)",VLOOKUP(ABS(R198),'BD Pointtabel'!$A$4:$G$15,2,TRUE))))</x:f>
      </x:c>
      <x:c r="T198" s="62" t="str">
        <x:f>IF(H198="Ikke spillet","Ikke spillet",IF(H198="Planlagt","Planlagt",IF(OR(H198="",P198="",Q198=""),"",IF(H198="Vundet",IF(R198&gt;0,"Uventet sejr","Ventet sejr"),IF(R198&gt;=0,"Ventet nederlag","Uventet nederlag")))))</x:f>
      </x:c>
      <x:c r="U198" s="62" t="str">
        <x:f>IF(OR(H198="Ikke spillet",H198="Planlagt"),"",IF(OR(G198="",H198="",P198="",Q198=""),"",IF(AND(F198="Ungdomsholdturnering",OR(G198="Double",G198="Mix"),H198="Tabt"),0,IF(H198="Vundet",IF(R198&gt;0,VLOOKUP(ABS(R198),'BD Pointtabel'!$A$4:$G$15,4,TRUE),VLOOKUP(ABS(R198),'BD Pointtabel'!$A$4:$G$15,7,TRUE)),IF(R198&gt;=0,VLOOKUP(ABS(R198),'BD Pointtabel'!$A$4:$G$15,6,TRUE),VLOOKUP(ABS(R198),'BD Pointtabel'!$A$4:$G$15,3,TRUE))))))</x:f>
      </x:c>
      <x:c r="V198" s="62" t="str">
        <x:f>IF(G198="","",SUMIFS($U$10:U198,$AG$10:AG198,AG198,$G$10:G198,G198))</x:f>
      </x:c>
      <x:c r="W198" s="62" t="str">
        <x:f>IF(C198="","",IF(AN198&lt;&gt;1,"",IF(G198="Single",AA198,IF(G198="Double",AC198,AE198))))</x:f>
      </x:c>
      <x:c r="X198" s="62" t="str">
        <x:f>IF(C198="","",IF(AN198&lt;&gt;1,"",ROUND(((AA198*AB198+AC198*AD198+AE198*AF198)/(AB198+AD198+AF198))+IF((MAX(AA198,AC198,AE198)-(AA198+AC198+AE198-MAX(AA198,AC198,AE198)-MIN(AA198,AC198,AE198)))&lt;'Model &amp; indstillinger'!$E$16,'Model &amp; indstillinger'!$E$18,'Model &amp; indstillinger'!$E$20)*(MAX(AA198,AC198,AE198)-((AA198*AB198+AC198*AD198+AE198*AF198)/(AB198+AD198+AF198))),0)))</x:f>
      </x:c>
      <x:c r="Y198" s="62" t="str">
        <x:f>IF(X198="","",'Model &amp; indstillinger'!$B$4-X198)</x:f>
      </x:c>
      <x:c r="Z198" s="62" t="str">
        <x:f>IF(C198="","",IF(H198="Planlagt","Planlagt – ingen point endnu",IF(H198="Ikke spillet","Ikke spillet – tæller ikke som kamp og giver ingen point",IF(AN198=1,"STÆVNE SLUT – samlet point tilskrives","Frosset pointgrundlag – ingen tilskrivning endnu"))))</x:f>
      </x:c>
      <x:c r="AA198" s="60" t="str">
        <x:f>IF(C198="","",'Model &amp; indstillinger'!$B$6+SUMIFS($U$10:U198,$G$10:G198,"Single"))</x:f>
      </x:c>
      <x:c r="AB198" s="60" t="str">
        <x:f>IF(C198="","",'Model &amp; indstillinger'!$B$7+COUNTIFS($G$10:G198,"Single",$AK$10:AK198,1))</x:f>
      </x:c>
      <x:c r="AC198" s="60" t="str">
        <x:f>IF(C198="","",'Model &amp; indstillinger'!$B$8+SUMIFS($U$10:U198,$G$10:G198,"Double"))</x:f>
      </x:c>
      <x:c r="AD198" s="60" t="str">
        <x:f>IF(C198="","",'Model &amp; indstillinger'!$B$9+COUNTIFS($G$10:G198,"Double",$AK$10:AK198,1))</x:f>
      </x:c>
      <x:c r="AE198" s="60" t="str">
        <x:f>IF(C198="","",'Model &amp; indstillinger'!$B$10+SUMIFS($U$10:U198,$G$10:G198,"Mix"))</x:f>
      </x:c>
      <x:c r="AF198" s="60" t="str">
        <x:f>IF(C198="","",'Model &amp; indstillinger'!$B$11+COUNTIFS($G$10:G198,"Mix",$AK$10:AK198,1))</x:f>
      </x:c>
      <x:c r="AG198" s="60" t="str">
        <x:f>IF(C198="","",IF(C198=C197,AG197,AG197+1))</x:f>
      </x:c>
      <x:c r="AH198" s="60" t="str">
        <x:f>IF(C198="","",IF(AG198=AG197,AH197,AA197))</x:f>
      </x:c>
      <x:c r="AI198" s="60" t="str">
        <x:f>IF(C198="","",IF(AG198=AG197,AI197,AC197))</x:f>
      </x:c>
      <x:c r="AJ198" s="60" t="str">
        <x:f>IF(C198="","",IF(AG198=AG197,AJ197,AE197))</x:f>
      </x:c>
      <x:c r="AK198" s="60" t="n">
        <x:f>IF(OR(H198="Vundet",H198="Tabt"),1,0)</x:f>
        <x:v>0</x:v>
      </x:c>
      <x:c r="AL198" s="60" t="n"/>
      <x:c r="AM198" s="60" t="n">
        <x:f>MAX($AG$10:$AG$209)</x:f>
        <x:v>4</x:v>
      </x:c>
      <x:c r="AN198" s="60" t="str">
        <x:f>IF(C198="","",IF(AND(C199&lt;&gt;"",C199&lt;&gt;C198),1,0))</x:f>
      </x:c>
      <x:c r="AO198" s="60" t="n"/>
      <x:c r="AP198" s="60" t="n">
        <x:f>MAX($AG$10:$AG$209)</x:f>
        <x:v>4</x:v>
      </x:c>
      <x:c r="AQ198" t="str">
        <x:f>AG198</x:f>
      </x:c>
      <x:c r="AR198" t="n">
        <x:f>C198</x:f>
        <x:v>0</x:v>
      </x:c>
      <x:c r="AS198" t="n">
        <x:f>E198</x:f>
        <x:v>0</x:v>
      </x:c>
    </x:row>
    <x:row r="199">
      <x:c r="A199" s="60" t="str">
        <x:f>IF(C199="","",COUNTIF($C$10:C199,"&lt;&gt;"))</x:f>
      </x:c>
      <x:c r="B199" s="122" t="n"/>
      <x:c r="C199" s="87" t="n"/>
      <x:c r="D199" s="87" t="n"/>
      <x:c r="E199" s="87" t="n"/>
      <x:c r="F199" s="87" t="n"/>
      <x:c r="G199" s="87" t="n"/>
      <x:c r="H199" s="87" t="n"/>
      <x:c r="I199" s="87" t="n"/>
      <x:c r="J199" s="87" t="n"/>
      <x:c r="K199" s="87" t="n"/>
      <x:c r="L199" s="87" t="n"/>
      <x:c r="M199" s="87" t="n"/>
      <x:c r="N199" s="87" t="n"/>
      <x:c r="O199" s="62" t="str">
        <x:f>IF(G199="","",IF(G199="Single",AH199,IF(G199="Double",AI199,AJ199)))</x:f>
      </x:c>
      <x:c r="P199" s="62" t="str">
        <x:f>IF(OR(G199="",H199="Ikke spillet"),"",IF(G199="Single",O199,IF(J199="","",(O199+J199)/2)))</x:f>
      </x:c>
      <x:c r="Q199" s="62" t="str">
        <x:f>IF(OR(G199="",H199="Ikke spillet"),"",IF(G199="Single",L199,IF(OR(L199="",N199=""),"",(L199+N199)/2)))</x:f>
      </x:c>
      <x:c r="R199" s="62" t="str">
        <x:f>IF(OR(P199="",Q199=""),"",Q199-P199)</x:f>
      </x:c>
      <x:c r="S199" s="62" t="str">
        <x:f>IF(H199="Ikke spillet","",IF(R199="","",IF(ABS(R199)&lt;0.000001,"Lige (0)",VLOOKUP(ABS(R199),'BD Pointtabel'!$A$4:$G$15,2,TRUE))))</x:f>
      </x:c>
      <x:c r="T199" s="62" t="str">
        <x:f>IF(H199="Ikke spillet","Ikke spillet",IF(H199="Planlagt","Planlagt",IF(OR(H199="",P199="",Q199=""),"",IF(H199="Vundet",IF(R199&gt;0,"Uventet sejr","Ventet sejr"),IF(R199&gt;=0,"Ventet nederlag","Uventet nederlag")))))</x:f>
      </x:c>
      <x:c r="U199" s="62" t="str">
        <x:f>IF(OR(H199="Ikke spillet",H199="Planlagt"),"",IF(OR(G199="",H199="",P199="",Q199=""),"",IF(AND(F199="Ungdomsholdturnering",OR(G199="Double",G199="Mix"),H199="Tabt"),0,IF(H199="Vundet",IF(R199&gt;0,VLOOKUP(ABS(R199),'BD Pointtabel'!$A$4:$G$15,4,TRUE),VLOOKUP(ABS(R199),'BD Pointtabel'!$A$4:$G$15,7,TRUE)),IF(R199&gt;=0,VLOOKUP(ABS(R199),'BD Pointtabel'!$A$4:$G$15,6,TRUE),VLOOKUP(ABS(R199),'BD Pointtabel'!$A$4:$G$15,3,TRUE))))))</x:f>
      </x:c>
      <x:c r="V199" s="62" t="str">
        <x:f>IF(G199="","",SUMIFS($U$10:U199,$AG$10:AG199,AG199,$G$10:G199,G199))</x:f>
      </x:c>
      <x:c r="W199" s="62" t="str">
        <x:f>IF(C199="","",IF(AN199&lt;&gt;1,"",IF(G199="Single",AA199,IF(G199="Double",AC199,AE199))))</x:f>
      </x:c>
      <x:c r="X199" s="62" t="str">
        <x:f>IF(C199="","",IF(AN199&lt;&gt;1,"",ROUND(((AA199*AB199+AC199*AD199+AE199*AF199)/(AB199+AD199+AF199))+IF((MAX(AA199,AC199,AE199)-(AA199+AC199+AE199-MAX(AA199,AC199,AE199)-MIN(AA199,AC199,AE199)))&lt;'Model &amp; indstillinger'!$E$16,'Model &amp; indstillinger'!$E$18,'Model &amp; indstillinger'!$E$20)*(MAX(AA199,AC199,AE199)-((AA199*AB199+AC199*AD199+AE199*AF199)/(AB199+AD199+AF199))),0)))</x:f>
      </x:c>
      <x:c r="Y199" s="62" t="str">
        <x:f>IF(X199="","",'Model &amp; indstillinger'!$B$4-X199)</x:f>
      </x:c>
      <x:c r="Z199" s="62" t="str">
        <x:f>IF(C199="","",IF(H199="Planlagt","Planlagt – ingen point endnu",IF(H199="Ikke spillet","Ikke spillet – tæller ikke som kamp og giver ingen point",IF(AN199=1,"STÆVNE SLUT – samlet point tilskrives","Frosset pointgrundlag – ingen tilskrivning endnu"))))</x:f>
      </x:c>
      <x:c r="AA199" s="60" t="str">
        <x:f>IF(C199="","",'Model &amp; indstillinger'!$B$6+SUMIFS($U$10:U199,$G$10:G199,"Single"))</x:f>
      </x:c>
      <x:c r="AB199" s="60" t="str">
        <x:f>IF(C199="","",'Model &amp; indstillinger'!$B$7+COUNTIFS($G$10:G199,"Single",$AK$10:AK199,1))</x:f>
      </x:c>
      <x:c r="AC199" s="60" t="str">
        <x:f>IF(C199="","",'Model &amp; indstillinger'!$B$8+SUMIFS($U$10:U199,$G$10:G199,"Double"))</x:f>
      </x:c>
      <x:c r="AD199" s="60" t="str">
        <x:f>IF(C199="","",'Model &amp; indstillinger'!$B$9+COUNTIFS($G$10:G199,"Double",$AK$10:AK199,1))</x:f>
      </x:c>
      <x:c r="AE199" s="60" t="str">
        <x:f>IF(C199="","",'Model &amp; indstillinger'!$B$10+SUMIFS($U$10:U199,$G$10:G199,"Mix"))</x:f>
      </x:c>
      <x:c r="AF199" s="60" t="str">
        <x:f>IF(C199="","",'Model &amp; indstillinger'!$B$11+COUNTIFS($G$10:G199,"Mix",$AK$10:AK199,1))</x:f>
      </x:c>
      <x:c r="AG199" s="60" t="str">
        <x:f>IF(C199="","",IF(C199=C198,AG198,AG198+1))</x:f>
      </x:c>
      <x:c r="AH199" s="60" t="str">
        <x:f>IF(C199="","",IF(AG199=AG198,AH198,AA198))</x:f>
      </x:c>
      <x:c r="AI199" s="60" t="str">
        <x:f>IF(C199="","",IF(AG199=AG198,AI198,AC198))</x:f>
      </x:c>
      <x:c r="AJ199" s="60" t="str">
        <x:f>IF(C199="","",IF(AG199=AG198,AJ198,AE198))</x:f>
      </x:c>
      <x:c r="AK199" s="60" t="n">
        <x:f>IF(OR(H199="Vundet",H199="Tabt"),1,0)</x:f>
        <x:v>0</x:v>
      </x:c>
      <x:c r="AL199" s="60" t="n"/>
      <x:c r="AM199" s="60" t="n">
        <x:f>MAX($AG$10:$AG$209)</x:f>
        <x:v>4</x:v>
      </x:c>
      <x:c r="AN199" s="60" t="str">
        <x:f>IF(C199="","",IF(AND(C200&lt;&gt;"",C200&lt;&gt;C199),1,0))</x:f>
      </x:c>
      <x:c r="AO199" s="60" t="n"/>
      <x:c r="AP199" s="60" t="n">
        <x:f>MAX($AG$10:$AG$209)</x:f>
        <x:v>4</x:v>
      </x:c>
      <x:c r="AQ199" t="str">
        <x:f>AG199</x:f>
      </x:c>
      <x:c r="AR199" t="n">
        <x:f>C199</x:f>
        <x:v>0</x:v>
      </x:c>
      <x:c r="AS199" t="n">
        <x:f>E199</x:f>
        <x:v>0</x:v>
      </x:c>
    </x:row>
    <x:row r="200">
      <x:c r="A200" s="60" t="str">
        <x:f>IF(C200="","",COUNTIF($C$10:C200,"&lt;&gt;"))</x:f>
      </x:c>
      <x:c r="B200" s="122" t="n"/>
      <x:c r="C200" s="87" t="n"/>
      <x:c r="D200" s="87" t="n"/>
      <x:c r="E200" s="87" t="n"/>
      <x:c r="F200" s="87" t="n"/>
      <x:c r="G200" s="87" t="n"/>
      <x:c r="H200" s="87" t="n"/>
      <x:c r="I200" s="87" t="n"/>
      <x:c r="J200" s="87" t="n"/>
      <x:c r="K200" s="87" t="n"/>
      <x:c r="L200" s="87" t="n"/>
      <x:c r="M200" s="87" t="n"/>
      <x:c r="N200" s="87" t="n"/>
      <x:c r="O200" s="62" t="str">
        <x:f>IF(G200="","",IF(G200="Single",AH200,IF(G200="Double",AI200,AJ200)))</x:f>
      </x:c>
      <x:c r="P200" s="62" t="str">
        <x:f>IF(OR(G200="",H200="Ikke spillet"),"",IF(G200="Single",O200,IF(J200="","",(O200+J200)/2)))</x:f>
      </x:c>
      <x:c r="Q200" s="62" t="str">
        <x:f>IF(OR(G200="",H200="Ikke spillet"),"",IF(G200="Single",L200,IF(OR(L200="",N200=""),"",(L200+N200)/2)))</x:f>
      </x:c>
      <x:c r="R200" s="62" t="str">
        <x:f>IF(OR(P200="",Q200=""),"",Q200-P200)</x:f>
      </x:c>
      <x:c r="S200" s="62" t="str">
        <x:f>IF(H200="Ikke spillet","",IF(R200="","",IF(ABS(R200)&lt;0.000001,"Lige (0)",VLOOKUP(ABS(R200),'BD Pointtabel'!$A$4:$G$15,2,TRUE))))</x:f>
      </x:c>
      <x:c r="T200" s="62" t="str">
        <x:f>IF(H200="Ikke spillet","Ikke spillet",IF(H200="Planlagt","Planlagt",IF(OR(H200="",P200="",Q200=""),"",IF(H200="Vundet",IF(R200&gt;0,"Uventet sejr","Ventet sejr"),IF(R200&gt;=0,"Ventet nederlag","Uventet nederlag")))))</x:f>
      </x:c>
      <x:c r="U200" s="62" t="str">
        <x:f>IF(OR(H200="Ikke spillet",H200="Planlagt"),"",IF(OR(G200="",H200="",P200="",Q200=""),"",IF(AND(F200="Ungdomsholdturnering",OR(G200="Double",G200="Mix"),H200="Tabt"),0,IF(H200="Vundet",IF(R200&gt;0,VLOOKUP(ABS(R200),'BD Pointtabel'!$A$4:$G$15,4,TRUE),VLOOKUP(ABS(R200),'BD Pointtabel'!$A$4:$G$15,7,TRUE)),IF(R200&gt;=0,VLOOKUP(ABS(R200),'BD Pointtabel'!$A$4:$G$15,6,TRUE),VLOOKUP(ABS(R200),'BD Pointtabel'!$A$4:$G$15,3,TRUE))))))</x:f>
      </x:c>
      <x:c r="V200" s="62" t="str">
        <x:f>IF(G200="","",SUMIFS($U$10:U200,$AG$10:AG200,AG200,$G$10:G200,G200))</x:f>
      </x:c>
      <x:c r="W200" s="62" t="str">
        <x:f>IF(C200="","",IF(AN200&lt;&gt;1,"",IF(G200="Single",AA200,IF(G200="Double",AC200,AE200))))</x:f>
      </x:c>
      <x:c r="X200" s="62" t="str">
        <x:f>IF(C200="","",IF(AN200&lt;&gt;1,"",ROUND(((AA200*AB200+AC200*AD200+AE200*AF200)/(AB200+AD200+AF200))+IF((MAX(AA200,AC200,AE200)-(AA200+AC200+AE200-MAX(AA200,AC200,AE200)-MIN(AA200,AC200,AE200)))&lt;'Model &amp; indstillinger'!$E$16,'Model &amp; indstillinger'!$E$18,'Model &amp; indstillinger'!$E$20)*(MAX(AA200,AC200,AE200)-((AA200*AB200+AC200*AD200+AE200*AF200)/(AB200+AD200+AF200))),0)))</x:f>
      </x:c>
      <x:c r="Y200" s="62" t="str">
        <x:f>IF(X200="","",'Model &amp; indstillinger'!$B$4-X200)</x:f>
      </x:c>
      <x:c r="Z200" s="62" t="str">
        <x:f>IF(C200="","",IF(H200="Planlagt","Planlagt – ingen point endnu",IF(H200="Ikke spillet","Ikke spillet – tæller ikke som kamp og giver ingen point",IF(AN200=1,"STÆVNE SLUT – samlet point tilskrives","Frosset pointgrundlag – ingen tilskrivning endnu"))))</x:f>
      </x:c>
      <x:c r="AA200" s="60" t="str">
        <x:f>IF(C200="","",'Model &amp; indstillinger'!$B$6+SUMIFS($U$10:U200,$G$10:G200,"Single"))</x:f>
      </x:c>
      <x:c r="AB200" s="60" t="str">
        <x:f>IF(C200="","",'Model &amp; indstillinger'!$B$7+COUNTIFS($G$10:G200,"Single",$AK$10:AK200,1))</x:f>
      </x:c>
      <x:c r="AC200" s="60" t="str">
        <x:f>IF(C200="","",'Model &amp; indstillinger'!$B$8+SUMIFS($U$10:U200,$G$10:G200,"Double"))</x:f>
      </x:c>
      <x:c r="AD200" s="60" t="str">
        <x:f>IF(C200="","",'Model &amp; indstillinger'!$B$9+COUNTIFS($G$10:G200,"Double",$AK$10:AK200,1))</x:f>
      </x:c>
      <x:c r="AE200" s="60" t="str">
        <x:f>IF(C200="","",'Model &amp; indstillinger'!$B$10+SUMIFS($U$10:U200,$G$10:G200,"Mix"))</x:f>
      </x:c>
      <x:c r="AF200" s="60" t="str">
        <x:f>IF(C200="","",'Model &amp; indstillinger'!$B$11+COUNTIFS($G$10:G200,"Mix",$AK$10:AK200,1))</x:f>
      </x:c>
      <x:c r="AG200" s="60" t="str">
        <x:f>IF(C200="","",IF(C200=C199,AG199,AG199+1))</x:f>
      </x:c>
      <x:c r="AH200" s="60" t="str">
        <x:f>IF(C200="","",IF(AG200=AG199,AH199,AA199))</x:f>
      </x:c>
      <x:c r="AI200" s="60" t="str">
        <x:f>IF(C200="","",IF(AG200=AG199,AI199,AC199))</x:f>
      </x:c>
      <x:c r="AJ200" s="60" t="str">
        <x:f>IF(C200="","",IF(AG200=AG199,AJ199,AE199))</x:f>
      </x:c>
      <x:c r="AK200" s="60" t="n">
        <x:f>IF(OR(H200="Vundet",H200="Tabt"),1,0)</x:f>
        <x:v>0</x:v>
      </x:c>
      <x:c r="AL200" s="60" t="n"/>
      <x:c r="AM200" s="60" t="n">
        <x:f>MAX($AG$10:$AG$209)</x:f>
        <x:v>4</x:v>
      </x:c>
      <x:c r="AN200" s="60" t="str">
        <x:f>IF(C200="","",IF(AND(C201&lt;&gt;"",C201&lt;&gt;C200),1,0))</x:f>
      </x:c>
      <x:c r="AO200" s="60" t="n"/>
      <x:c r="AP200" s="60" t="n">
        <x:f>MAX($AG$10:$AG$209)</x:f>
        <x:v>4</x:v>
      </x:c>
      <x:c r="AQ200" t="str">
        <x:f>AG200</x:f>
      </x:c>
      <x:c r="AR200" t="n">
        <x:f>C200</x:f>
        <x:v>0</x:v>
      </x:c>
      <x:c r="AS200" t="n">
        <x:f>E200</x:f>
        <x:v>0</x:v>
      </x:c>
    </x:row>
    <x:row r="201">
      <x:c r="A201" s="60" t="str">
        <x:f>IF(C201="","",COUNTIF($C$10:C201,"&lt;&gt;"))</x:f>
      </x:c>
      <x:c r="B201" s="122" t="n"/>
      <x:c r="C201" s="87" t="n"/>
      <x:c r="D201" s="87" t="n"/>
      <x:c r="E201" s="87" t="n"/>
      <x:c r="F201" s="87" t="n"/>
      <x:c r="G201" s="87" t="n"/>
      <x:c r="H201" s="87" t="n"/>
      <x:c r="I201" s="87" t="n"/>
      <x:c r="J201" s="87" t="n"/>
      <x:c r="K201" s="87" t="n"/>
      <x:c r="L201" s="87" t="n"/>
      <x:c r="M201" s="87" t="n"/>
      <x:c r="N201" s="87" t="n"/>
      <x:c r="O201" s="62" t="str">
        <x:f>IF(G201="","",IF(G201="Single",AH201,IF(G201="Double",AI201,AJ201)))</x:f>
      </x:c>
      <x:c r="P201" s="62" t="str">
        <x:f>IF(OR(G201="",H201="Ikke spillet"),"",IF(G201="Single",O201,IF(J201="","",(O201+J201)/2)))</x:f>
      </x:c>
      <x:c r="Q201" s="62" t="str">
        <x:f>IF(OR(G201="",H201="Ikke spillet"),"",IF(G201="Single",L201,IF(OR(L201="",N201=""),"",(L201+N201)/2)))</x:f>
      </x:c>
      <x:c r="R201" s="62" t="str">
        <x:f>IF(OR(P201="",Q201=""),"",Q201-P201)</x:f>
      </x:c>
      <x:c r="S201" s="62" t="str">
        <x:f>IF(H201="Ikke spillet","",IF(R201="","",IF(ABS(R201)&lt;0.000001,"Lige (0)",VLOOKUP(ABS(R201),'BD Pointtabel'!$A$4:$G$15,2,TRUE))))</x:f>
      </x:c>
      <x:c r="T201" s="62" t="str">
        <x:f>IF(H201="Ikke spillet","Ikke spillet",IF(H201="Planlagt","Planlagt",IF(OR(H201="",P201="",Q201=""),"",IF(H201="Vundet",IF(R201&gt;0,"Uventet sejr","Ventet sejr"),IF(R201&gt;=0,"Ventet nederlag","Uventet nederlag")))))</x:f>
      </x:c>
      <x:c r="U201" s="62" t="str">
        <x:f>IF(OR(H201="Ikke spillet",H201="Planlagt"),"",IF(OR(G201="",H201="",P201="",Q201=""),"",IF(AND(F201="Ungdomsholdturnering",OR(G201="Double",G201="Mix"),H201="Tabt"),0,IF(H201="Vundet",IF(R201&gt;0,VLOOKUP(ABS(R201),'BD Pointtabel'!$A$4:$G$15,4,TRUE),VLOOKUP(ABS(R201),'BD Pointtabel'!$A$4:$G$15,7,TRUE)),IF(R201&gt;=0,VLOOKUP(ABS(R201),'BD Pointtabel'!$A$4:$G$15,6,TRUE),VLOOKUP(ABS(R201),'BD Pointtabel'!$A$4:$G$15,3,TRUE))))))</x:f>
      </x:c>
      <x:c r="V201" s="62" t="str">
        <x:f>IF(G201="","",SUMIFS($U$10:U201,$AG$10:AG201,AG201,$G$10:G201,G201))</x:f>
      </x:c>
      <x:c r="W201" s="62" t="str">
        <x:f>IF(C201="","",IF(AN201&lt;&gt;1,"",IF(G201="Single",AA201,IF(G201="Double",AC201,AE201))))</x:f>
      </x:c>
      <x:c r="X201" s="62" t="str">
        <x:f>IF(C201="","",IF(AN201&lt;&gt;1,"",ROUND(((AA201*AB201+AC201*AD201+AE201*AF201)/(AB201+AD201+AF201))+IF((MAX(AA201,AC201,AE201)-(AA201+AC201+AE201-MAX(AA201,AC201,AE201)-MIN(AA201,AC201,AE201)))&lt;'Model &amp; indstillinger'!$E$16,'Model &amp; indstillinger'!$E$18,'Model &amp; indstillinger'!$E$20)*(MAX(AA201,AC201,AE201)-((AA201*AB201+AC201*AD201+AE201*AF201)/(AB201+AD201+AF201))),0)))</x:f>
      </x:c>
      <x:c r="Y201" s="62" t="str">
        <x:f>IF(X201="","",'Model &amp; indstillinger'!$B$4-X201)</x:f>
      </x:c>
      <x:c r="Z201" s="62" t="str">
        <x:f>IF(C201="","",IF(H201="Planlagt","Planlagt – ingen point endnu",IF(H201="Ikke spillet","Ikke spillet – tæller ikke som kamp og giver ingen point",IF(AN201=1,"STÆVNE SLUT – samlet point tilskrives","Frosset pointgrundlag – ingen tilskrivning endnu"))))</x:f>
      </x:c>
      <x:c r="AA201" s="60" t="str">
        <x:f>IF(C201="","",'Model &amp; indstillinger'!$B$6+SUMIFS($U$10:U201,$G$10:G201,"Single"))</x:f>
      </x:c>
      <x:c r="AB201" s="60" t="str">
        <x:f>IF(C201="","",'Model &amp; indstillinger'!$B$7+COUNTIFS($G$10:G201,"Single",$AK$10:AK201,1))</x:f>
      </x:c>
      <x:c r="AC201" s="60" t="str">
        <x:f>IF(C201="","",'Model &amp; indstillinger'!$B$8+SUMIFS($U$10:U201,$G$10:G201,"Double"))</x:f>
      </x:c>
      <x:c r="AD201" s="60" t="str">
        <x:f>IF(C201="","",'Model &amp; indstillinger'!$B$9+COUNTIFS($G$10:G201,"Double",$AK$10:AK201,1))</x:f>
      </x:c>
      <x:c r="AE201" s="60" t="str">
        <x:f>IF(C201="","",'Model &amp; indstillinger'!$B$10+SUMIFS($U$10:U201,$G$10:G201,"Mix"))</x:f>
      </x:c>
      <x:c r="AF201" s="60" t="str">
        <x:f>IF(C201="","",'Model &amp; indstillinger'!$B$11+COUNTIFS($G$10:G201,"Mix",$AK$10:AK201,1))</x:f>
      </x:c>
      <x:c r="AG201" s="60" t="str">
        <x:f>IF(C201="","",IF(C201=C200,AG200,AG200+1))</x:f>
      </x:c>
      <x:c r="AH201" s="60" t="str">
        <x:f>IF(C201="","",IF(AG201=AG200,AH200,AA200))</x:f>
      </x:c>
      <x:c r="AI201" s="60" t="str">
        <x:f>IF(C201="","",IF(AG201=AG200,AI200,AC200))</x:f>
      </x:c>
      <x:c r="AJ201" s="60" t="str">
        <x:f>IF(C201="","",IF(AG201=AG200,AJ200,AE200))</x:f>
      </x:c>
      <x:c r="AK201" s="60" t="n">
        <x:f>IF(OR(H201="Vundet",H201="Tabt"),1,0)</x:f>
        <x:v>0</x:v>
      </x:c>
      <x:c r="AL201" s="60" t="n"/>
      <x:c r="AM201" s="60" t="n">
        <x:f>MAX($AG$10:$AG$209)</x:f>
        <x:v>4</x:v>
      </x:c>
      <x:c r="AN201" s="60" t="str">
        <x:f>IF(C201="","",IF(AND(C202&lt;&gt;"",C202&lt;&gt;C201),1,0))</x:f>
      </x:c>
      <x:c r="AO201" s="60" t="n"/>
      <x:c r="AP201" s="60" t="n">
        <x:f>MAX($AG$10:$AG$209)</x:f>
        <x:v>4</x:v>
      </x:c>
      <x:c r="AQ201" t="str">
        <x:f>AG201</x:f>
      </x:c>
      <x:c r="AR201" t="n">
        <x:f>C201</x:f>
        <x:v>0</x:v>
      </x:c>
      <x:c r="AS201" t="n">
        <x:f>E201</x:f>
        <x:v>0</x:v>
      </x:c>
    </x:row>
    <x:row r="202">
      <x:c r="A202" s="60" t="str">
        <x:f>IF(C202="","",COUNTIF($C$10:C202,"&lt;&gt;"))</x:f>
      </x:c>
      <x:c r="B202" s="122" t="n"/>
      <x:c r="C202" s="87" t="n"/>
      <x:c r="D202" s="87" t="n"/>
      <x:c r="E202" s="87" t="n"/>
      <x:c r="F202" s="87" t="n"/>
      <x:c r="G202" s="87" t="n"/>
      <x:c r="H202" s="87" t="n"/>
      <x:c r="I202" s="87" t="n"/>
      <x:c r="J202" s="87" t="n"/>
      <x:c r="K202" s="87" t="n"/>
      <x:c r="L202" s="87" t="n"/>
      <x:c r="M202" s="87" t="n"/>
      <x:c r="N202" s="87" t="n"/>
      <x:c r="O202" s="62" t="str">
        <x:f>IF(G202="","",IF(G202="Single",AH202,IF(G202="Double",AI202,AJ202)))</x:f>
      </x:c>
      <x:c r="P202" s="62" t="str">
        <x:f>IF(OR(G202="",H202="Ikke spillet"),"",IF(G202="Single",O202,IF(J202="","",(O202+J202)/2)))</x:f>
      </x:c>
      <x:c r="Q202" s="62" t="str">
        <x:f>IF(OR(G202="",H202="Ikke spillet"),"",IF(G202="Single",L202,IF(OR(L202="",N202=""),"",(L202+N202)/2)))</x:f>
      </x:c>
      <x:c r="R202" s="62" t="str">
        <x:f>IF(OR(P202="",Q202=""),"",Q202-P202)</x:f>
      </x:c>
      <x:c r="S202" s="62" t="str">
        <x:f>IF(H202="Ikke spillet","",IF(R202="","",IF(ABS(R202)&lt;0.000001,"Lige (0)",VLOOKUP(ABS(R202),'BD Pointtabel'!$A$4:$G$15,2,TRUE))))</x:f>
      </x:c>
      <x:c r="T202" s="62" t="str">
        <x:f>IF(H202="Ikke spillet","Ikke spillet",IF(H202="Planlagt","Planlagt",IF(OR(H202="",P202="",Q202=""),"",IF(H202="Vundet",IF(R202&gt;0,"Uventet sejr","Ventet sejr"),IF(R202&gt;=0,"Ventet nederlag","Uventet nederlag")))))</x:f>
      </x:c>
      <x:c r="U202" s="62" t="str">
        <x:f>IF(OR(H202="Ikke spillet",H202="Planlagt"),"",IF(OR(G202="",H202="",P202="",Q202=""),"",IF(AND(F202="Ungdomsholdturnering",OR(G202="Double",G202="Mix"),H202="Tabt"),0,IF(H202="Vundet",IF(R202&gt;0,VLOOKUP(ABS(R202),'BD Pointtabel'!$A$4:$G$15,4,TRUE),VLOOKUP(ABS(R202),'BD Pointtabel'!$A$4:$G$15,7,TRUE)),IF(R202&gt;=0,VLOOKUP(ABS(R202),'BD Pointtabel'!$A$4:$G$15,6,TRUE),VLOOKUP(ABS(R202),'BD Pointtabel'!$A$4:$G$15,3,TRUE))))))</x:f>
      </x:c>
      <x:c r="V202" s="62" t="str">
        <x:f>IF(G202="","",SUMIFS($U$10:U202,$AG$10:AG202,AG202,$G$10:G202,G202))</x:f>
      </x:c>
      <x:c r="W202" s="62" t="str">
        <x:f>IF(C202="","",IF(AN202&lt;&gt;1,"",IF(G202="Single",AA202,IF(G202="Double",AC202,AE202))))</x:f>
      </x:c>
      <x:c r="X202" s="62" t="str">
        <x:f>IF(C202="","",IF(AN202&lt;&gt;1,"",ROUND(((AA202*AB202+AC202*AD202+AE202*AF202)/(AB202+AD202+AF202))+IF((MAX(AA202,AC202,AE202)-(AA202+AC202+AE202-MAX(AA202,AC202,AE202)-MIN(AA202,AC202,AE202)))&lt;'Model &amp; indstillinger'!$E$16,'Model &amp; indstillinger'!$E$18,'Model &amp; indstillinger'!$E$20)*(MAX(AA202,AC202,AE202)-((AA202*AB202+AC202*AD202+AE202*AF202)/(AB202+AD202+AF202))),0)))</x:f>
      </x:c>
      <x:c r="Y202" s="62" t="str">
        <x:f>IF(X202="","",'Model &amp; indstillinger'!$B$4-X202)</x:f>
      </x:c>
      <x:c r="Z202" s="62" t="str">
        <x:f>IF(C202="","",IF(H202="Planlagt","Planlagt – ingen point endnu",IF(H202="Ikke spillet","Ikke spillet – tæller ikke som kamp og giver ingen point",IF(AN202=1,"STÆVNE SLUT – samlet point tilskrives","Frosset pointgrundlag – ingen tilskrivning endnu"))))</x:f>
      </x:c>
      <x:c r="AA202" s="60" t="str">
        <x:f>IF(C202="","",'Model &amp; indstillinger'!$B$6+SUMIFS($U$10:U202,$G$10:G202,"Single"))</x:f>
      </x:c>
      <x:c r="AB202" s="60" t="str">
        <x:f>IF(C202="","",'Model &amp; indstillinger'!$B$7+COUNTIFS($G$10:G202,"Single",$AK$10:AK202,1))</x:f>
      </x:c>
      <x:c r="AC202" s="60" t="str">
        <x:f>IF(C202="","",'Model &amp; indstillinger'!$B$8+SUMIFS($U$10:U202,$G$10:G202,"Double"))</x:f>
      </x:c>
      <x:c r="AD202" s="60" t="str">
        <x:f>IF(C202="","",'Model &amp; indstillinger'!$B$9+COUNTIFS($G$10:G202,"Double",$AK$10:AK202,1))</x:f>
      </x:c>
      <x:c r="AE202" s="60" t="str">
        <x:f>IF(C202="","",'Model &amp; indstillinger'!$B$10+SUMIFS($U$10:U202,$G$10:G202,"Mix"))</x:f>
      </x:c>
      <x:c r="AF202" s="60" t="str">
        <x:f>IF(C202="","",'Model &amp; indstillinger'!$B$11+COUNTIFS($G$10:G202,"Mix",$AK$10:AK202,1))</x:f>
      </x:c>
      <x:c r="AG202" s="60" t="str">
        <x:f>IF(C202="","",IF(C202=C201,AG201,AG201+1))</x:f>
      </x:c>
      <x:c r="AH202" s="60" t="str">
        <x:f>IF(C202="","",IF(AG202=AG201,AH201,AA201))</x:f>
      </x:c>
      <x:c r="AI202" s="60" t="str">
        <x:f>IF(C202="","",IF(AG202=AG201,AI201,AC201))</x:f>
      </x:c>
      <x:c r="AJ202" s="60" t="str">
        <x:f>IF(C202="","",IF(AG202=AG201,AJ201,AE201))</x:f>
      </x:c>
      <x:c r="AK202" s="60" t="n">
        <x:f>IF(OR(H202="Vundet",H202="Tabt"),1,0)</x:f>
        <x:v>0</x:v>
      </x:c>
      <x:c r="AL202" s="60" t="n"/>
      <x:c r="AM202" s="60" t="n">
        <x:f>MAX($AG$10:$AG$209)</x:f>
        <x:v>4</x:v>
      </x:c>
      <x:c r="AN202" s="60" t="str">
        <x:f>IF(C202="","",IF(AND(C203&lt;&gt;"",C203&lt;&gt;C202),1,0))</x:f>
      </x:c>
      <x:c r="AO202" s="60" t="n"/>
      <x:c r="AP202" s="60" t="n">
        <x:f>MAX($AG$10:$AG$209)</x:f>
        <x:v>4</x:v>
      </x:c>
      <x:c r="AQ202" t="str">
        <x:f>AG202</x:f>
      </x:c>
      <x:c r="AR202" t="n">
        <x:f>C202</x:f>
        <x:v>0</x:v>
      </x:c>
      <x:c r="AS202" t="n">
        <x:f>E202</x:f>
        <x:v>0</x:v>
      </x:c>
    </x:row>
    <x:row r="203">
      <x:c r="A203" s="60" t="str">
        <x:f>IF(C203="","",COUNTIF($C$10:C203,"&lt;&gt;"))</x:f>
      </x:c>
      <x:c r="B203" s="122" t="n"/>
      <x:c r="C203" s="87" t="n"/>
      <x:c r="D203" s="87" t="n"/>
      <x:c r="E203" s="87" t="n"/>
      <x:c r="F203" s="87" t="n"/>
      <x:c r="G203" s="87" t="n"/>
      <x:c r="H203" s="87" t="n"/>
      <x:c r="I203" s="87" t="n"/>
      <x:c r="J203" s="87" t="n"/>
      <x:c r="K203" s="87" t="n"/>
      <x:c r="L203" s="87" t="n"/>
      <x:c r="M203" s="87" t="n"/>
      <x:c r="N203" s="87" t="n"/>
      <x:c r="O203" s="62" t="str">
        <x:f>IF(G203="","",IF(G203="Single",AH203,IF(G203="Double",AI203,AJ203)))</x:f>
      </x:c>
      <x:c r="P203" s="62" t="str">
        <x:f>IF(OR(G203="",H203="Ikke spillet"),"",IF(G203="Single",O203,IF(J203="","",(O203+J203)/2)))</x:f>
      </x:c>
      <x:c r="Q203" s="62" t="str">
        <x:f>IF(OR(G203="",H203="Ikke spillet"),"",IF(G203="Single",L203,IF(OR(L203="",N203=""),"",(L203+N203)/2)))</x:f>
      </x:c>
      <x:c r="R203" s="62" t="str">
        <x:f>IF(OR(P203="",Q203=""),"",Q203-P203)</x:f>
      </x:c>
      <x:c r="S203" s="62" t="str">
        <x:f>IF(H203="Ikke spillet","",IF(R203="","",IF(ABS(R203)&lt;0.000001,"Lige (0)",VLOOKUP(ABS(R203),'BD Pointtabel'!$A$4:$G$15,2,TRUE))))</x:f>
      </x:c>
      <x:c r="T203" s="62" t="str">
        <x:f>IF(H203="Ikke spillet","Ikke spillet",IF(H203="Planlagt","Planlagt",IF(OR(H203="",P203="",Q203=""),"",IF(H203="Vundet",IF(R203&gt;0,"Uventet sejr","Ventet sejr"),IF(R203&gt;=0,"Ventet nederlag","Uventet nederlag")))))</x:f>
      </x:c>
      <x:c r="U203" s="62" t="str">
        <x:f>IF(OR(H203="Ikke spillet",H203="Planlagt"),"",IF(OR(G203="",H203="",P203="",Q203=""),"",IF(AND(F203="Ungdomsholdturnering",OR(G203="Double",G203="Mix"),H203="Tabt"),0,IF(H203="Vundet",IF(R203&gt;0,VLOOKUP(ABS(R203),'BD Pointtabel'!$A$4:$G$15,4,TRUE),VLOOKUP(ABS(R203),'BD Pointtabel'!$A$4:$G$15,7,TRUE)),IF(R203&gt;=0,VLOOKUP(ABS(R203),'BD Pointtabel'!$A$4:$G$15,6,TRUE),VLOOKUP(ABS(R203),'BD Pointtabel'!$A$4:$G$15,3,TRUE))))))</x:f>
      </x:c>
      <x:c r="V203" s="62" t="str">
        <x:f>IF(G203="","",SUMIFS($U$10:U203,$AG$10:AG203,AG203,$G$10:G203,G203))</x:f>
      </x:c>
      <x:c r="W203" s="62" t="str">
        <x:f>IF(C203="","",IF(AN203&lt;&gt;1,"",IF(G203="Single",AA203,IF(G203="Double",AC203,AE203))))</x:f>
      </x:c>
      <x:c r="X203" s="62" t="str">
        <x:f>IF(C203="","",IF(AN203&lt;&gt;1,"",ROUND(((AA203*AB203+AC203*AD203+AE203*AF203)/(AB203+AD203+AF203))+IF((MAX(AA203,AC203,AE203)-(AA203+AC203+AE203-MAX(AA203,AC203,AE203)-MIN(AA203,AC203,AE203)))&lt;'Model &amp; indstillinger'!$E$16,'Model &amp; indstillinger'!$E$18,'Model &amp; indstillinger'!$E$20)*(MAX(AA203,AC203,AE203)-((AA203*AB203+AC203*AD203+AE203*AF203)/(AB203+AD203+AF203))),0)))</x:f>
      </x:c>
      <x:c r="Y203" s="62" t="str">
        <x:f>IF(X203="","",'Model &amp; indstillinger'!$B$4-X203)</x:f>
      </x:c>
      <x:c r="Z203" s="62" t="str">
        <x:f>IF(C203="","",IF(H203="Planlagt","Planlagt – ingen point endnu",IF(H203="Ikke spillet","Ikke spillet – tæller ikke som kamp og giver ingen point",IF(AN203=1,"STÆVNE SLUT – samlet point tilskrives","Frosset pointgrundlag – ingen tilskrivning endnu"))))</x:f>
      </x:c>
      <x:c r="AA203" s="60" t="str">
        <x:f>IF(C203="","",'Model &amp; indstillinger'!$B$6+SUMIFS($U$10:U203,$G$10:G203,"Single"))</x:f>
      </x:c>
      <x:c r="AB203" s="60" t="str">
        <x:f>IF(C203="","",'Model &amp; indstillinger'!$B$7+COUNTIFS($G$10:G203,"Single",$AK$10:AK203,1))</x:f>
      </x:c>
      <x:c r="AC203" s="60" t="str">
        <x:f>IF(C203="","",'Model &amp; indstillinger'!$B$8+SUMIFS($U$10:U203,$G$10:G203,"Double"))</x:f>
      </x:c>
      <x:c r="AD203" s="60" t="str">
        <x:f>IF(C203="","",'Model &amp; indstillinger'!$B$9+COUNTIFS($G$10:G203,"Double",$AK$10:AK203,1))</x:f>
      </x:c>
      <x:c r="AE203" s="60" t="str">
        <x:f>IF(C203="","",'Model &amp; indstillinger'!$B$10+SUMIFS($U$10:U203,$G$10:G203,"Mix"))</x:f>
      </x:c>
      <x:c r="AF203" s="60" t="str">
        <x:f>IF(C203="","",'Model &amp; indstillinger'!$B$11+COUNTIFS($G$10:G203,"Mix",$AK$10:AK203,1))</x:f>
      </x:c>
      <x:c r="AG203" s="60" t="str">
        <x:f>IF(C203="","",IF(C203=C202,AG202,AG202+1))</x:f>
      </x:c>
      <x:c r="AH203" s="60" t="str">
        <x:f>IF(C203="","",IF(AG203=AG202,AH202,AA202))</x:f>
      </x:c>
      <x:c r="AI203" s="60" t="str">
        <x:f>IF(C203="","",IF(AG203=AG202,AI202,AC202))</x:f>
      </x:c>
      <x:c r="AJ203" s="60" t="str">
        <x:f>IF(C203="","",IF(AG203=AG202,AJ202,AE202))</x:f>
      </x:c>
      <x:c r="AK203" s="60" t="n">
        <x:f>IF(OR(H203="Vundet",H203="Tabt"),1,0)</x:f>
        <x:v>0</x:v>
      </x:c>
      <x:c r="AL203" s="60" t="n"/>
      <x:c r="AM203" s="60" t="n">
        <x:f>MAX($AG$10:$AG$209)</x:f>
        <x:v>4</x:v>
      </x:c>
      <x:c r="AN203" s="60" t="str">
        <x:f>IF(C203="","",IF(AND(C204&lt;&gt;"",C204&lt;&gt;C203),1,0))</x:f>
      </x:c>
      <x:c r="AO203" s="60" t="n"/>
      <x:c r="AP203" s="60" t="n">
        <x:f>MAX($AG$10:$AG$209)</x:f>
        <x:v>4</x:v>
      </x:c>
      <x:c r="AQ203" t="str">
        <x:f>AG203</x:f>
      </x:c>
      <x:c r="AR203" t="n">
        <x:f>C203</x:f>
        <x:v>0</x:v>
      </x:c>
      <x:c r="AS203" t="n">
        <x:f>E203</x:f>
        <x:v>0</x:v>
      </x:c>
    </x:row>
    <x:row r="204">
      <x:c r="A204" s="60" t="str">
        <x:f>IF(C204="","",COUNTIF($C$10:C204,"&lt;&gt;"))</x:f>
      </x:c>
      <x:c r="B204" s="122" t="n"/>
      <x:c r="C204" s="87" t="n"/>
      <x:c r="D204" s="87" t="n"/>
      <x:c r="E204" s="87" t="n"/>
      <x:c r="F204" s="87" t="n"/>
      <x:c r="G204" s="87" t="n"/>
      <x:c r="H204" s="87" t="n"/>
      <x:c r="I204" s="87" t="n"/>
      <x:c r="J204" s="87" t="n"/>
      <x:c r="K204" s="87" t="n"/>
      <x:c r="L204" s="87" t="n"/>
      <x:c r="M204" s="87" t="n"/>
      <x:c r="N204" s="87" t="n"/>
      <x:c r="O204" s="62" t="str">
        <x:f>IF(G204="","",IF(G204="Single",AH204,IF(G204="Double",AI204,AJ204)))</x:f>
      </x:c>
      <x:c r="P204" s="62" t="str">
        <x:f>IF(OR(G204="",H204="Ikke spillet"),"",IF(G204="Single",O204,IF(J204="","",(O204+J204)/2)))</x:f>
      </x:c>
      <x:c r="Q204" s="62" t="str">
        <x:f>IF(OR(G204="",H204="Ikke spillet"),"",IF(G204="Single",L204,IF(OR(L204="",N204=""),"",(L204+N204)/2)))</x:f>
      </x:c>
      <x:c r="R204" s="62" t="str">
        <x:f>IF(OR(P204="",Q204=""),"",Q204-P204)</x:f>
      </x:c>
      <x:c r="S204" s="62" t="str">
        <x:f>IF(H204="Ikke spillet","",IF(R204="","",IF(ABS(R204)&lt;0.000001,"Lige (0)",VLOOKUP(ABS(R204),'BD Pointtabel'!$A$4:$G$15,2,TRUE))))</x:f>
      </x:c>
      <x:c r="T204" s="62" t="str">
        <x:f>IF(H204="Ikke spillet","Ikke spillet",IF(H204="Planlagt","Planlagt",IF(OR(H204="",P204="",Q204=""),"",IF(H204="Vundet",IF(R204&gt;0,"Uventet sejr","Ventet sejr"),IF(R204&gt;=0,"Ventet nederlag","Uventet nederlag")))))</x:f>
      </x:c>
      <x:c r="U204" s="62" t="str">
        <x:f>IF(OR(H204="Ikke spillet",H204="Planlagt"),"",IF(OR(G204="",H204="",P204="",Q204=""),"",IF(AND(F204="Ungdomsholdturnering",OR(G204="Double",G204="Mix"),H204="Tabt"),0,IF(H204="Vundet",IF(R204&gt;0,VLOOKUP(ABS(R204),'BD Pointtabel'!$A$4:$G$15,4,TRUE),VLOOKUP(ABS(R204),'BD Pointtabel'!$A$4:$G$15,7,TRUE)),IF(R204&gt;=0,VLOOKUP(ABS(R204),'BD Pointtabel'!$A$4:$G$15,6,TRUE),VLOOKUP(ABS(R204),'BD Pointtabel'!$A$4:$G$15,3,TRUE))))))</x:f>
      </x:c>
      <x:c r="V204" s="62" t="str">
        <x:f>IF(G204="","",SUMIFS($U$10:U204,$AG$10:AG204,AG204,$G$10:G204,G204))</x:f>
      </x:c>
      <x:c r="W204" s="62" t="str">
        <x:f>IF(C204="","",IF(AN204&lt;&gt;1,"",IF(G204="Single",AA204,IF(G204="Double",AC204,AE204))))</x:f>
      </x:c>
      <x:c r="X204" s="62" t="str">
        <x:f>IF(C204="","",IF(AN204&lt;&gt;1,"",ROUND(((AA204*AB204+AC204*AD204+AE204*AF204)/(AB204+AD204+AF204))+IF((MAX(AA204,AC204,AE204)-(AA204+AC204+AE204-MAX(AA204,AC204,AE204)-MIN(AA204,AC204,AE204)))&lt;'Model &amp; indstillinger'!$E$16,'Model &amp; indstillinger'!$E$18,'Model &amp; indstillinger'!$E$20)*(MAX(AA204,AC204,AE204)-((AA204*AB204+AC204*AD204+AE204*AF204)/(AB204+AD204+AF204))),0)))</x:f>
      </x:c>
      <x:c r="Y204" s="62" t="str">
        <x:f>IF(X204="","",'Model &amp; indstillinger'!$B$4-X204)</x:f>
      </x:c>
      <x:c r="Z204" s="62" t="str">
        <x:f>IF(C204="","",IF(H204="Planlagt","Planlagt – ingen point endnu",IF(H204="Ikke spillet","Ikke spillet – tæller ikke som kamp og giver ingen point",IF(AN204=1,"STÆVNE SLUT – samlet point tilskrives","Frosset pointgrundlag – ingen tilskrivning endnu"))))</x:f>
      </x:c>
      <x:c r="AA204" s="60" t="str">
        <x:f>IF(C204="","",'Model &amp; indstillinger'!$B$6+SUMIFS($U$10:U204,$G$10:G204,"Single"))</x:f>
      </x:c>
      <x:c r="AB204" s="60" t="str">
        <x:f>IF(C204="","",'Model &amp; indstillinger'!$B$7+COUNTIFS($G$10:G204,"Single",$AK$10:AK204,1))</x:f>
      </x:c>
      <x:c r="AC204" s="60" t="str">
        <x:f>IF(C204="","",'Model &amp; indstillinger'!$B$8+SUMIFS($U$10:U204,$G$10:G204,"Double"))</x:f>
      </x:c>
      <x:c r="AD204" s="60" t="str">
        <x:f>IF(C204="","",'Model &amp; indstillinger'!$B$9+COUNTIFS($G$10:G204,"Double",$AK$10:AK204,1))</x:f>
      </x:c>
      <x:c r="AE204" s="60" t="str">
        <x:f>IF(C204="","",'Model &amp; indstillinger'!$B$10+SUMIFS($U$10:U204,$G$10:G204,"Mix"))</x:f>
      </x:c>
      <x:c r="AF204" s="60" t="str">
        <x:f>IF(C204="","",'Model &amp; indstillinger'!$B$11+COUNTIFS($G$10:G204,"Mix",$AK$10:AK204,1))</x:f>
      </x:c>
      <x:c r="AG204" s="60" t="str">
        <x:f>IF(C204="","",IF(C204=C203,AG203,AG203+1))</x:f>
      </x:c>
      <x:c r="AH204" s="60" t="str">
        <x:f>IF(C204="","",IF(AG204=AG203,AH203,AA203))</x:f>
      </x:c>
      <x:c r="AI204" s="60" t="str">
        <x:f>IF(C204="","",IF(AG204=AG203,AI203,AC203))</x:f>
      </x:c>
      <x:c r="AJ204" s="60" t="str">
        <x:f>IF(C204="","",IF(AG204=AG203,AJ203,AE203))</x:f>
      </x:c>
      <x:c r="AK204" s="60" t="n">
        <x:f>IF(OR(H204="Vundet",H204="Tabt"),1,0)</x:f>
        <x:v>0</x:v>
      </x:c>
      <x:c r="AL204" s="60" t="n"/>
      <x:c r="AM204" s="60" t="n">
        <x:f>MAX($AG$10:$AG$209)</x:f>
        <x:v>4</x:v>
      </x:c>
      <x:c r="AN204" s="60" t="str">
        <x:f>IF(C204="","",IF(AND(C205&lt;&gt;"",C205&lt;&gt;C204),1,0))</x:f>
      </x:c>
      <x:c r="AO204" s="60" t="n"/>
      <x:c r="AP204" s="60" t="n">
        <x:f>MAX($AG$10:$AG$209)</x:f>
        <x:v>4</x:v>
      </x:c>
      <x:c r="AQ204" t="str">
        <x:f>AG204</x:f>
      </x:c>
      <x:c r="AR204" t="n">
        <x:f>C204</x:f>
        <x:v>0</x:v>
      </x:c>
      <x:c r="AS204" t="n">
        <x:f>E204</x:f>
        <x:v>0</x:v>
      </x:c>
    </x:row>
    <x:row r="205">
      <x:c r="A205" s="60" t="str">
        <x:f>IF(C205="","",COUNTIF($C$10:C205,"&lt;&gt;"))</x:f>
      </x:c>
      <x:c r="B205" s="122" t="n"/>
      <x:c r="C205" s="87" t="n"/>
      <x:c r="D205" s="87" t="n"/>
      <x:c r="E205" s="87" t="n"/>
      <x:c r="F205" s="87" t="n"/>
      <x:c r="G205" s="87" t="n"/>
      <x:c r="H205" s="87" t="n"/>
      <x:c r="I205" s="87" t="n"/>
      <x:c r="J205" s="87" t="n"/>
      <x:c r="K205" s="87" t="n"/>
      <x:c r="L205" s="87" t="n"/>
      <x:c r="M205" s="87" t="n"/>
      <x:c r="N205" s="87" t="n"/>
      <x:c r="O205" s="62" t="str">
        <x:f>IF(G205="","",IF(G205="Single",AH205,IF(G205="Double",AI205,AJ205)))</x:f>
      </x:c>
      <x:c r="P205" s="62" t="str">
        <x:f>IF(OR(G205="",H205="Ikke spillet"),"",IF(G205="Single",O205,IF(J205="","",(O205+J205)/2)))</x:f>
      </x:c>
      <x:c r="Q205" s="62" t="str">
        <x:f>IF(OR(G205="",H205="Ikke spillet"),"",IF(G205="Single",L205,IF(OR(L205="",N205=""),"",(L205+N205)/2)))</x:f>
      </x:c>
      <x:c r="R205" s="62" t="str">
        <x:f>IF(OR(P205="",Q205=""),"",Q205-P205)</x:f>
      </x:c>
      <x:c r="S205" s="62" t="str">
        <x:f>IF(H205="Ikke spillet","",IF(R205="","",IF(ABS(R205)&lt;0.000001,"Lige (0)",VLOOKUP(ABS(R205),'BD Pointtabel'!$A$4:$G$15,2,TRUE))))</x:f>
      </x:c>
      <x:c r="T205" s="62" t="str">
        <x:f>IF(H205="Ikke spillet","Ikke spillet",IF(H205="Planlagt","Planlagt",IF(OR(H205="",P205="",Q205=""),"",IF(H205="Vundet",IF(R205&gt;0,"Uventet sejr","Ventet sejr"),IF(R205&gt;=0,"Ventet nederlag","Uventet nederlag")))))</x:f>
      </x:c>
      <x:c r="U205" s="62" t="str">
        <x:f>IF(OR(H205="Ikke spillet",H205="Planlagt"),"",IF(OR(G205="",H205="",P205="",Q205=""),"",IF(AND(F205="Ungdomsholdturnering",OR(G205="Double",G205="Mix"),H205="Tabt"),0,IF(H205="Vundet",IF(R205&gt;0,VLOOKUP(ABS(R205),'BD Pointtabel'!$A$4:$G$15,4,TRUE),VLOOKUP(ABS(R205),'BD Pointtabel'!$A$4:$G$15,7,TRUE)),IF(R205&gt;=0,VLOOKUP(ABS(R205),'BD Pointtabel'!$A$4:$G$15,6,TRUE),VLOOKUP(ABS(R205),'BD Pointtabel'!$A$4:$G$15,3,TRUE))))))</x:f>
      </x:c>
      <x:c r="V205" s="62" t="str">
        <x:f>IF(G205="","",SUMIFS($U$10:U205,$AG$10:AG205,AG205,$G$10:G205,G205))</x:f>
      </x:c>
      <x:c r="W205" s="62" t="str">
        <x:f>IF(C205="","",IF(AN205&lt;&gt;1,"",IF(G205="Single",AA205,IF(G205="Double",AC205,AE205))))</x:f>
      </x:c>
      <x:c r="X205" s="62" t="str">
        <x:f>IF(C205="","",IF(AN205&lt;&gt;1,"",ROUND(((AA205*AB205+AC205*AD205+AE205*AF205)/(AB205+AD205+AF205))+IF((MAX(AA205,AC205,AE205)-(AA205+AC205+AE205-MAX(AA205,AC205,AE205)-MIN(AA205,AC205,AE205)))&lt;'Model &amp; indstillinger'!$E$16,'Model &amp; indstillinger'!$E$18,'Model &amp; indstillinger'!$E$20)*(MAX(AA205,AC205,AE205)-((AA205*AB205+AC205*AD205+AE205*AF205)/(AB205+AD205+AF205))),0)))</x:f>
      </x:c>
      <x:c r="Y205" s="62" t="str">
        <x:f>IF(X205="","",'Model &amp; indstillinger'!$B$4-X205)</x:f>
      </x:c>
      <x:c r="Z205" s="62" t="str">
        <x:f>IF(C205="","",IF(H205="Planlagt","Planlagt – ingen point endnu",IF(H205="Ikke spillet","Ikke spillet – tæller ikke som kamp og giver ingen point",IF(AN205=1,"STÆVNE SLUT – samlet point tilskrives","Frosset pointgrundlag – ingen tilskrivning endnu"))))</x:f>
      </x:c>
      <x:c r="AA205" s="60" t="str">
        <x:f>IF(C205="","",'Model &amp; indstillinger'!$B$6+SUMIFS($U$10:U205,$G$10:G205,"Single"))</x:f>
      </x:c>
      <x:c r="AB205" s="60" t="str">
        <x:f>IF(C205="","",'Model &amp; indstillinger'!$B$7+COUNTIFS($G$10:G205,"Single",$AK$10:AK205,1))</x:f>
      </x:c>
      <x:c r="AC205" s="60" t="str">
        <x:f>IF(C205="","",'Model &amp; indstillinger'!$B$8+SUMIFS($U$10:U205,$G$10:G205,"Double"))</x:f>
      </x:c>
      <x:c r="AD205" s="60" t="str">
        <x:f>IF(C205="","",'Model &amp; indstillinger'!$B$9+COUNTIFS($G$10:G205,"Double",$AK$10:AK205,1))</x:f>
      </x:c>
      <x:c r="AE205" s="60" t="str">
        <x:f>IF(C205="","",'Model &amp; indstillinger'!$B$10+SUMIFS($U$10:U205,$G$10:G205,"Mix"))</x:f>
      </x:c>
      <x:c r="AF205" s="60" t="str">
        <x:f>IF(C205="","",'Model &amp; indstillinger'!$B$11+COUNTIFS($G$10:G205,"Mix",$AK$10:AK205,1))</x:f>
      </x:c>
      <x:c r="AG205" s="60" t="str">
        <x:f>IF(C205="","",IF(C205=C204,AG204,AG204+1))</x:f>
      </x:c>
      <x:c r="AH205" s="60" t="str">
        <x:f>IF(C205="","",IF(AG205=AG204,AH204,AA204))</x:f>
      </x:c>
      <x:c r="AI205" s="60" t="str">
        <x:f>IF(C205="","",IF(AG205=AG204,AI204,AC204))</x:f>
      </x:c>
      <x:c r="AJ205" s="60" t="str">
        <x:f>IF(C205="","",IF(AG205=AG204,AJ204,AE204))</x:f>
      </x:c>
      <x:c r="AK205" s="60" t="n">
        <x:f>IF(OR(H205="Vundet",H205="Tabt"),1,0)</x:f>
        <x:v>0</x:v>
      </x:c>
      <x:c r="AL205" s="60" t="n"/>
      <x:c r="AM205" s="60" t="n">
        <x:f>MAX($AG$10:$AG$209)</x:f>
        <x:v>4</x:v>
      </x:c>
      <x:c r="AN205" s="60" t="str">
        <x:f>IF(C205="","",IF(AND(C206&lt;&gt;"",C206&lt;&gt;C205),1,0))</x:f>
      </x:c>
      <x:c r="AO205" s="60" t="n"/>
      <x:c r="AP205" s="60" t="n">
        <x:f>MAX($AG$10:$AG$209)</x:f>
        <x:v>4</x:v>
      </x:c>
      <x:c r="AQ205" t="str">
        <x:f>AG205</x:f>
      </x:c>
      <x:c r="AR205" t="n">
        <x:f>C205</x:f>
        <x:v>0</x:v>
      </x:c>
      <x:c r="AS205" t="n">
        <x:f>E205</x:f>
        <x:v>0</x:v>
      </x:c>
    </x:row>
    <x:row r="206">
      <x:c r="A206" s="60" t="str">
        <x:f>IF(C206="","",COUNTIF($C$10:C206,"&lt;&gt;"))</x:f>
      </x:c>
      <x:c r="B206" s="122" t="n"/>
      <x:c r="C206" s="87" t="n"/>
      <x:c r="D206" s="87" t="n"/>
      <x:c r="E206" s="87" t="n"/>
      <x:c r="F206" s="87" t="n"/>
      <x:c r="G206" s="87" t="n"/>
      <x:c r="H206" s="87" t="n"/>
      <x:c r="I206" s="87" t="n"/>
      <x:c r="J206" s="87" t="n"/>
      <x:c r="K206" s="87" t="n"/>
      <x:c r="L206" s="87" t="n"/>
      <x:c r="M206" s="87" t="n"/>
      <x:c r="N206" s="87" t="n"/>
      <x:c r="O206" s="62" t="str">
        <x:f>IF(G206="","",IF(G206="Single",AH206,IF(G206="Double",AI206,AJ206)))</x:f>
      </x:c>
      <x:c r="P206" s="62" t="str">
        <x:f>IF(OR(G206="",H206="Ikke spillet"),"",IF(G206="Single",O206,IF(J206="","",(O206+J206)/2)))</x:f>
      </x:c>
      <x:c r="Q206" s="62" t="str">
        <x:f>IF(OR(G206="",H206="Ikke spillet"),"",IF(G206="Single",L206,IF(OR(L206="",N206=""),"",(L206+N206)/2)))</x:f>
      </x:c>
      <x:c r="R206" s="62" t="str">
        <x:f>IF(OR(P206="",Q206=""),"",Q206-P206)</x:f>
      </x:c>
      <x:c r="S206" s="62" t="str">
        <x:f>IF(H206="Ikke spillet","",IF(R206="","",IF(ABS(R206)&lt;0.000001,"Lige (0)",VLOOKUP(ABS(R206),'BD Pointtabel'!$A$4:$G$15,2,TRUE))))</x:f>
      </x:c>
      <x:c r="T206" s="62" t="str">
        <x:f>IF(H206="Ikke spillet","Ikke spillet",IF(H206="Planlagt","Planlagt",IF(OR(H206="",P206="",Q206=""),"",IF(H206="Vundet",IF(R206&gt;0,"Uventet sejr","Ventet sejr"),IF(R206&gt;=0,"Ventet nederlag","Uventet nederlag")))))</x:f>
      </x:c>
      <x:c r="U206" s="62" t="str">
        <x:f>IF(OR(H206="Ikke spillet",H206="Planlagt"),"",IF(OR(G206="",H206="",P206="",Q206=""),"",IF(AND(F206="Ungdomsholdturnering",OR(G206="Double",G206="Mix"),H206="Tabt"),0,IF(H206="Vundet",IF(R206&gt;0,VLOOKUP(ABS(R206),'BD Pointtabel'!$A$4:$G$15,4,TRUE),VLOOKUP(ABS(R206),'BD Pointtabel'!$A$4:$G$15,7,TRUE)),IF(R206&gt;=0,VLOOKUP(ABS(R206),'BD Pointtabel'!$A$4:$G$15,6,TRUE),VLOOKUP(ABS(R206),'BD Pointtabel'!$A$4:$G$15,3,TRUE))))))</x:f>
      </x:c>
      <x:c r="V206" s="62" t="str">
        <x:f>IF(G206="","",SUMIFS($U$10:U206,$AG$10:AG206,AG206,$G$10:G206,G206))</x:f>
      </x:c>
      <x:c r="W206" s="62" t="str">
        <x:f>IF(C206="","",IF(AN206&lt;&gt;1,"",IF(G206="Single",AA206,IF(G206="Double",AC206,AE206))))</x:f>
      </x:c>
      <x:c r="X206" s="62" t="str">
        <x:f>IF(C206="","",IF(AN206&lt;&gt;1,"",ROUND(((AA206*AB206+AC206*AD206+AE206*AF206)/(AB206+AD206+AF206))+IF((MAX(AA206,AC206,AE206)-(AA206+AC206+AE206-MAX(AA206,AC206,AE206)-MIN(AA206,AC206,AE206)))&lt;'Model &amp; indstillinger'!$E$16,'Model &amp; indstillinger'!$E$18,'Model &amp; indstillinger'!$E$20)*(MAX(AA206,AC206,AE206)-((AA206*AB206+AC206*AD206+AE206*AF206)/(AB206+AD206+AF206))),0)))</x:f>
      </x:c>
      <x:c r="Y206" s="62" t="str">
        <x:f>IF(X206="","",'Model &amp; indstillinger'!$B$4-X206)</x:f>
      </x:c>
      <x:c r="Z206" s="62" t="str">
        <x:f>IF(C206="","",IF(H206="Planlagt","Planlagt – ingen point endnu",IF(H206="Ikke spillet","Ikke spillet – tæller ikke som kamp og giver ingen point",IF(AN206=1,"STÆVNE SLUT – samlet point tilskrives","Frosset pointgrundlag – ingen tilskrivning endnu"))))</x:f>
      </x:c>
      <x:c r="AA206" s="60" t="str">
        <x:f>IF(C206="","",'Model &amp; indstillinger'!$B$6+SUMIFS($U$10:U206,$G$10:G206,"Single"))</x:f>
      </x:c>
      <x:c r="AB206" s="60" t="str">
        <x:f>IF(C206="","",'Model &amp; indstillinger'!$B$7+COUNTIFS($G$10:G206,"Single",$AK$10:AK206,1))</x:f>
      </x:c>
      <x:c r="AC206" s="60" t="str">
        <x:f>IF(C206="","",'Model &amp; indstillinger'!$B$8+SUMIFS($U$10:U206,$G$10:G206,"Double"))</x:f>
      </x:c>
      <x:c r="AD206" s="60" t="str">
        <x:f>IF(C206="","",'Model &amp; indstillinger'!$B$9+COUNTIFS($G$10:G206,"Double",$AK$10:AK206,1))</x:f>
      </x:c>
      <x:c r="AE206" s="60" t="str">
        <x:f>IF(C206="","",'Model &amp; indstillinger'!$B$10+SUMIFS($U$10:U206,$G$10:G206,"Mix"))</x:f>
      </x:c>
      <x:c r="AF206" s="60" t="str">
        <x:f>IF(C206="","",'Model &amp; indstillinger'!$B$11+COUNTIFS($G$10:G206,"Mix",$AK$10:AK206,1))</x:f>
      </x:c>
      <x:c r="AG206" s="60" t="str">
        <x:f>IF(C206="","",IF(C206=C205,AG205,AG205+1))</x:f>
      </x:c>
      <x:c r="AH206" s="60" t="str">
        <x:f>IF(C206="","",IF(AG206=AG205,AH205,AA205))</x:f>
      </x:c>
      <x:c r="AI206" s="60" t="str">
        <x:f>IF(C206="","",IF(AG206=AG205,AI205,AC205))</x:f>
      </x:c>
      <x:c r="AJ206" s="60" t="str">
        <x:f>IF(C206="","",IF(AG206=AG205,AJ205,AE205))</x:f>
      </x:c>
      <x:c r="AK206" s="60" t="n">
        <x:f>IF(OR(H206="Vundet",H206="Tabt"),1,0)</x:f>
        <x:v>0</x:v>
      </x:c>
      <x:c r="AL206" s="60" t="n"/>
      <x:c r="AM206" s="60" t="n">
        <x:f>MAX($AG$10:$AG$209)</x:f>
        <x:v>4</x:v>
      </x:c>
      <x:c r="AN206" s="60" t="str">
        <x:f>IF(C206="","",IF(AND(C207&lt;&gt;"",C207&lt;&gt;C206),1,0))</x:f>
      </x:c>
      <x:c r="AO206" s="60" t="n"/>
      <x:c r="AP206" s="60" t="n">
        <x:f>MAX($AG$10:$AG$209)</x:f>
        <x:v>4</x:v>
      </x:c>
      <x:c r="AQ206" t="str">
        <x:f>AG206</x:f>
      </x:c>
      <x:c r="AR206" t="n">
        <x:f>C206</x:f>
        <x:v>0</x:v>
      </x:c>
      <x:c r="AS206" t="n">
        <x:f>E206</x:f>
        <x:v>0</x:v>
      </x:c>
    </x:row>
    <x:row r="207">
      <x:c r="A207" s="60" t="str">
        <x:f>IF(C207="","",COUNTIF($C$10:C207,"&lt;&gt;"))</x:f>
      </x:c>
      <x:c r="B207" s="122" t="n"/>
      <x:c r="C207" s="87" t="n"/>
      <x:c r="D207" s="87" t="n"/>
      <x:c r="E207" s="87" t="n"/>
      <x:c r="F207" s="87" t="n"/>
      <x:c r="G207" s="87" t="n"/>
      <x:c r="H207" s="87" t="n"/>
      <x:c r="I207" s="87" t="n"/>
      <x:c r="J207" s="87" t="n"/>
      <x:c r="K207" s="87" t="n"/>
      <x:c r="L207" s="87" t="n"/>
      <x:c r="M207" s="87" t="n"/>
      <x:c r="N207" s="87" t="n"/>
      <x:c r="O207" s="62" t="str">
        <x:f>IF(G207="","",IF(G207="Single",AH207,IF(G207="Double",AI207,AJ207)))</x:f>
      </x:c>
      <x:c r="P207" s="62" t="str">
        <x:f>IF(OR(G207="",H207="Ikke spillet"),"",IF(G207="Single",O207,IF(J207="","",(O207+J207)/2)))</x:f>
      </x:c>
      <x:c r="Q207" s="62" t="str">
        <x:f>IF(OR(G207="",H207="Ikke spillet"),"",IF(G207="Single",L207,IF(OR(L207="",N207=""),"",(L207+N207)/2)))</x:f>
      </x:c>
      <x:c r="R207" s="62" t="str">
        <x:f>IF(OR(P207="",Q207=""),"",Q207-P207)</x:f>
      </x:c>
      <x:c r="S207" s="62" t="str">
        <x:f>IF(H207="Ikke spillet","",IF(R207="","",IF(ABS(R207)&lt;0.000001,"Lige (0)",VLOOKUP(ABS(R207),'BD Pointtabel'!$A$4:$G$15,2,TRUE))))</x:f>
      </x:c>
      <x:c r="T207" s="62" t="str">
        <x:f>IF(H207="Ikke spillet","Ikke spillet",IF(H207="Planlagt","Planlagt",IF(OR(H207="",P207="",Q207=""),"",IF(H207="Vundet",IF(R207&gt;0,"Uventet sejr","Ventet sejr"),IF(R207&gt;=0,"Ventet nederlag","Uventet nederlag")))))</x:f>
      </x:c>
      <x:c r="U207" s="62" t="str">
        <x:f>IF(OR(H207="Ikke spillet",H207="Planlagt"),"",IF(OR(G207="",H207="",P207="",Q207=""),"",IF(AND(F207="Ungdomsholdturnering",OR(G207="Double",G207="Mix"),H207="Tabt"),0,IF(H207="Vundet",IF(R207&gt;0,VLOOKUP(ABS(R207),'BD Pointtabel'!$A$4:$G$15,4,TRUE),VLOOKUP(ABS(R207),'BD Pointtabel'!$A$4:$G$15,7,TRUE)),IF(R207&gt;=0,VLOOKUP(ABS(R207),'BD Pointtabel'!$A$4:$G$15,6,TRUE),VLOOKUP(ABS(R207),'BD Pointtabel'!$A$4:$G$15,3,TRUE))))))</x:f>
      </x:c>
      <x:c r="V207" s="62" t="str">
        <x:f>IF(G207="","",SUMIFS($U$10:U207,$AG$10:AG207,AG207,$G$10:G207,G207))</x:f>
      </x:c>
      <x:c r="W207" s="62" t="str">
        <x:f>IF(C207="","",IF(AN207&lt;&gt;1,"",IF(G207="Single",AA207,IF(G207="Double",AC207,AE207))))</x:f>
      </x:c>
      <x:c r="X207" s="62" t="str">
        <x:f>IF(C207="","",IF(AN207&lt;&gt;1,"",ROUND(((AA207*AB207+AC207*AD207+AE207*AF207)/(AB207+AD207+AF207))+IF((MAX(AA207,AC207,AE207)-(AA207+AC207+AE207-MAX(AA207,AC207,AE207)-MIN(AA207,AC207,AE207)))&lt;'Model &amp; indstillinger'!$E$16,'Model &amp; indstillinger'!$E$18,'Model &amp; indstillinger'!$E$20)*(MAX(AA207,AC207,AE207)-((AA207*AB207+AC207*AD207+AE207*AF207)/(AB207+AD207+AF207))),0)))</x:f>
      </x:c>
      <x:c r="Y207" s="62" t="str">
        <x:f>IF(X207="","",'Model &amp; indstillinger'!$B$4-X207)</x:f>
      </x:c>
      <x:c r="Z207" s="62" t="str">
        <x:f>IF(C207="","",IF(H207="Planlagt","Planlagt – ingen point endnu",IF(H207="Ikke spillet","Ikke spillet – tæller ikke som kamp og giver ingen point",IF(AN207=1,"STÆVNE SLUT – samlet point tilskrives","Frosset pointgrundlag – ingen tilskrivning endnu"))))</x:f>
      </x:c>
      <x:c r="AA207" s="60" t="str">
        <x:f>IF(C207="","",'Model &amp; indstillinger'!$B$6+SUMIFS($U$10:U207,$G$10:G207,"Single"))</x:f>
      </x:c>
      <x:c r="AB207" s="60" t="str">
        <x:f>IF(C207="","",'Model &amp; indstillinger'!$B$7+COUNTIFS($G$10:G207,"Single",$AK$10:AK207,1))</x:f>
      </x:c>
      <x:c r="AC207" s="60" t="str">
        <x:f>IF(C207="","",'Model &amp; indstillinger'!$B$8+SUMIFS($U$10:U207,$G$10:G207,"Double"))</x:f>
      </x:c>
      <x:c r="AD207" s="60" t="str">
        <x:f>IF(C207="","",'Model &amp; indstillinger'!$B$9+COUNTIFS($G$10:G207,"Double",$AK$10:AK207,1))</x:f>
      </x:c>
      <x:c r="AE207" s="60" t="str">
        <x:f>IF(C207="","",'Model &amp; indstillinger'!$B$10+SUMIFS($U$10:U207,$G$10:G207,"Mix"))</x:f>
      </x:c>
      <x:c r="AF207" s="60" t="str">
        <x:f>IF(C207="","",'Model &amp; indstillinger'!$B$11+COUNTIFS($G$10:G207,"Mix",$AK$10:AK207,1))</x:f>
      </x:c>
      <x:c r="AG207" s="60" t="str">
        <x:f>IF(C207="","",IF(C207=C206,AG206,AG206+1))</x:f>
      </x:c>
      <x:c r="AH207" s="60" t="str">
        <x:f>IF(C207="","",IF(AG207=AG206,AH206,AA206))</x:f>
      </x:c>
      <x:c r="AI207" s="60" t="str">
        <x:f>IF(C207="","",IF(AG207=AG206,AI206,AC206))</x:f>
      </x:c>
      <x:c r="AJ207" s="60" t="str">
        <x:f>IF(C207="","",IF(AG207=AG206,AJ206,AE206))</x:f>
      </x:c>
      <x:c r="AK207" s="60" t="n">
        <x:f>IF(OR(H207="Vundet",H207="Tabt"),1,0)</x:f>
        <x:v>0</x:v>
      </x:c>
      <x:c r="AL207" s="60" t="n"/>
      <x:c r="AM207" s="60" t="n">
        <x:f>MAX($AG$10:$AG$209)</x:f>
        <x:v>4</x:v>
      </x:c>
      <x:c r="AN207" s="60" t="str">
        <x:f>IF(C207="","",IF(AND(C208&lt;&gt;"",C208&lt;&gt;C207),1,0))</x:f>
      </x:c>
      <x:c r="AO207" s="60" t="n"/>
      <x:c r="AP207" s="60" t="n">
        <x:f>MAX($AG$10:$AG$209)</x:f>
        <x:v>4</x:v>
      </x:c>
      <x:c r="AQ207" t="str">
        <x:f>AG207</x:f>
      </x:c>
      <x:c r="AR207" t="n">
        <x:f>C207</x:f>
        <x:v>0</x:v>
      </x:c>
      <x:c r="AS207" t="n">
        <x:f>E207</x:f>
        <x:v>0</x:v>
      </x:c>
    </x:row>
    <x:row r="208">
      <x:c r="A208" s="60" t="str">
        <x:f>IF(C208="","",COUNTIF($C$10:C208,"&lt;&gt;"))</x:f>
      </x:c>
      <x:c r="B208" s="122" t="n"/>
      <x:c r="C208" s="87" t="n"/>
      <x:c r="D208" s="87" t="n"/>
      <x:c r="E208" s="87" t="n"/>
      <x:c r="F208" s="87" t="n"/>
      <x:c r="G208" s="87" t="n"/>
      <x:c r="H208" s="87" t="n"/>
      <x:c r="I208" s="87" t="n"/>
      <x:c r="J208" s="87" t="n"/>
      <x:c r="K208" s="87" t="n"/>
      <x:c r="L208" s="87" t="n"/>
      <x:c r="M208" s="87" t="n"/>
      <x:c r="N208" s="87" t="n"/>
      <x:c r="O208" s="62" t="str">
        <x:f>IF(G208="","",IF(G208="Single",AH208,IF(G208="Double",AI208,AJ208)))</x:f>
      </x:c>
      <x:c r="P208" s="62" t="str">
        <x:f>IF(OR(G208="",H208="Ikke spillet"),"",IF(G208="Single",O208,IF(J208="","",(O208+J208)/2)))</x:f>
      </x:c>
      <x:c r="Q208" s="62" t="str">
        <x:f>IF(OR(G208="",H208="Ikke spillet"),"",IF(G208="Single",L208,IF(OR(L208="",N208=""),"",(L208+N208)/2)))</x:f>
      </x:c>
      <x:c r="R208" s="62" t="str">
        <x:f>IF(OR(P208="",Q208=""),"",Q208-P208)</x:f>
      </x:c>
      <x:c r="S208" s="62" t="str">
        <x:f>IF(H208="Ikke spillet","",IF(R208="","",IF(ABS(R208)&lt;0.000001,"Lige (0)",VLOOKUP(ABS(R208),'BD Pointtabel'!$A$4:$G$15,2,TRUE))))</x:f>
      </x:c>
      <x:c r="T208" s="62" t="str">
        <x:f>IF(H208="Ikke spillet","Ikke spillet",IF(H208="Planlagt","Planlagt",IF(OR(H208="",P208="",Q208=""),"",IF(H208="Vundet",IF(R208&gt;0,"Uventet sejr","Ventet sejr"),IF(R208&gt;=0,"Ventet nederlag","Uventet nederlag")))))</x:f>
      </x:c>
      <x:c r="U208" s="62" t="str">
        <x:f>IF(OR(H208="Ikke spillet",H208="Planlagt"),"",IF(OR(G208="",H208="",P208="",Q208=""),"",IF(AND(F208="Ungdomsholdturnering",OR(G208="Double",G208="Mix"),H208="Tabt"),0,IF(H208="Vundet",IF(R208&gt;0,VLOOKUP(ABS(R208),'BD Pointtabel'!$A$4:$G$15,4,TRUE),VLOOKUP(ABS(R208),'BD Pointtabel'!$A$4:$G$15,7,TRUE)),IF(R208&gt;=0,VLOOKUP(ABS(R208),'BD Pointtabel'!$A$4:$G$15,6,TRUE),VLOOKUP(ABS(R208),'BD Pointtabel'!$A$4:$G$15,3,TRUE))))))</x:f>
      </x:c>
      <x:c r="V208" s="62" t="str">
        <x:f>IF(G208="","",SUMIFS($U$10:U208,$AG$10:AG208,AG208,$G$10:G208,G208))</x:f>
      </x:c>
      <x:c r="W208" s="62" t="str">
        <x:f>IF(C208="","",IF(AN208&lt;&gt;1,"",IF(G208="Single",AA208,IF(G208="Double",AC208,AE208))))</x:f>
      </x:c>
      <x:c r="X208" s="62" t="str">
        <x:f>IF(C208="","",IF(AN208&lt;&gt;1,"",ROUND(((AA208*AB208+AC208*AD208+AE208*AF208)/(AB208+AD208+AF208))+IF((MAX(AA208,AC208,AE208)-(AA208+AC208+AE208-MAX(AA208,AC208,AE208)-MIN(AA208,AC208,AE208)))&lt;'Model &amp; indstillinger'!$E$16,'Model &amp; indstillinger'!$E$18,'Model &amp; indstillinger'!$E$20)*(MAX(AA208,AC208,AE208)-((AA208*AB208+AC208*AD208+AE208*AF208)/(AB208+AD208+AF208))),0)))</x:f>
      </x:c>
      <x:c r="Y208" s="62" t="str">
        <x:f>IF(X208="","",'Model &amp; indstillinger'!$B$4-X208)</x:f>
      </x:c>
      <x:c r="Z208" s="62" t="str">
        <x:f>IF(C208="","",IF(H208="Planlagt","Planlagt – ingen point endnu",IF(H208="Ikke spillet","Ikke spillet – tæller ikke som kamp og giver ingen point",IF(AN208=1,"STÆVNE SLUT – samlet point tilskrives","Frosset pointgrundlag – ingen tilskrivning endnu"))))</x:f>
      </x:c>
      <x:c r="AA208" s="60" t="str">
        <x:f>IF(C208="","",'Model &amp; indstillinger'!$B$6+SUMIFS($U$10:U208,$G$10:G208,"Single"))</x:f>
      </x:c>
      <x:c r="AB208" s="60" t="str">
        <x:f>IF(C208="","",'Model &amp; indstillinger'!$B$7+COUNTIFS($G$10:G208,"Single",$AK$10:AK208,1))</x:f>
      </x:c>
      <x:c r="AC208" s="60" t="str">
        <x:f>IF(C208="","",'Model &amp; indstillinger'!$B$8+SUMIFS($U$10:U208,$G$10:G208,"Double"))</x:f>
      </x:c>
      <x:c r="AD208" s="60" t="str">
        <x:f>IF(C208="","",'Model &amp; indstillinger'!$B$9+COUNTIFS($G$10:G208,"Double",$AK$10:AK208,1))</x:f>
      </x:c>
      <x:c r="AE208" s="60" t="str">
        <x:f>IF(C208="","",'Model &amp; indstillinger'!$B$10+SUMIFS($U$10:U208,$G$10:G208,"Mix"))</x:f>
      </x:c>
      <x:c r="AF208" s="60" t="str">
        <x:f>IF(C208="","",'Model &amp; indstillinger'!$B$11+COUNTIFS($G$10:G208,"Mix",$AK$10:AK208,1))</x:f>
      </x:c>
      <x:c r="AG208" s="60" t="str">
        <x:f>IF(C208="","",IF(C208=C207,AG207,AG207+1))</x:f>
      </x:c>
      <x:c r="AH208" s="60" t="str">
        <x:f>IF(C208="","",IF(AG208=AG207,AH207,AA207))</x:f>
      </x:c>
      <x:c r="AI208" s="60" t="str">
        <x:f>IF(C208="","",IF(AG208=AG207,AI207,AC207))</x:f>
      </x:c>
      <x:c r="AJ208" s="60" t="str">
        <x:f>IF(C208="","",IF(AG208=AG207,AJ207,AE207))</x:f>
      </x:c>
      <x:c r="AK208" s="60" t="n">
        <x:f>IF(OR(H208="Vundet",H208="Tabt"),1,0)</x:f>
        <x:v>0</x:v>
      </x:c>
      <x:c r="AL208" s="60" t="n"/>
      <x:c r="AM208" s="60" t="n">
        <x:f>MAX($AG$10:$AG$209)</x:f>
        <x:v>4</x:v>
      </x:c>
      <x:c r="AN208" s="60" t="str">
        <x:f>IF(C208="","",IF(AND(C209&lt;&gt;"",C209&lt;&gt;C208),1,0))</x:f>
      </x:c>
      <x:c r="AO208" s="60" t="n"/>
      <x:c r="AP208" s="60" t="n">
        <x:f>MAX($AG$10:$AG$209)</x:f>
        <x:v>4</x:v>
      </x:c>
      <x:c r="AQ208" t="str">
        <x:f>AG208</x:f>
      </x:c>
      <x:c r="AR208" t="n">
        <x:f>C208</x:f>
        <x:v>0</x:v>
      </x:c>
      <x:c r="AS208" t="n">
        <x:f>E208</x:f>
        <x:v>0</x:v>
      </x:c>
    </x:row>
    <x:row r="209">
      <x:c r="A209" s="60" t="str">
        <x:f>IF(C209="","",COUNTIF($C$10:C209,"&lt;&gt;"))</x:f>
      </x:c>
      <x:c r="B209" s="122" t="n"/>
      <x:c r="C209" s="87" t="n"/>
      <x:c r="D209" s="87" t="n"/>
      <x:c r="E209" s="87" t="n"/>
      <x:c r="F209" s="87" t="n"/>
      <x:c r="G209" s="87" t="n"/>
      <x:c r="H209" s="87" t="n"/>
      <x:c r="I209" s="87" t="n"/>
      <x:c r="J209" s="87" t="n"/>
      <x:c r="K209" s="87" t="n"/>
      <x:c r="L209" s="87" t="n"/>
      <x:c r="M209" s="87" t="n"/>
      <x:c r="N209" s="87" t="n"/>
      <x:c r="O209" s="62" t="str">
        <x:f>IF(G209="","",IF(G209="Single",AH209,IF(G209="Double",AI209,AJ209)))</x:f>
      </x:c>
      <x:c r="P209" s="62" t="str">
        <x:f>IF(OR(G209="",H209="Ikke spillet"),"",IF(G209="Single",O209,IF(J209="","",(O209+J209)/2)))</x:f>
      </x:c>
      <x:c r="Q209" s="62" t="str">
        <x:f>IF(OR(G209="",H209="Ikke spillet"),"",IF(G209="Single",L209,IF(OR(L209="",N209=""),"",(L209+N209)/2)))</x:f>
      </x:c>
      <x:c r="R209" s="62" t="str">
        <x:f>IF(OR(P209="",Q209=""),"",Q209-P209)</x:f>
      </x:c>
      <x:c r="S209" s="62" t="str">
        <x:f>IF(H209="Ikke spillet","",IF(R209="","",IF(ABS(R209)&lt;0.000001,"Lige (0)",VLOOKUP(ABS(R209),'BD Pointtabel'!$A$4:$G$15,2,TRUE))))</x:f>
      </x:c>
      <x:c r="T209" s="62" t="str">
        <x:f>IF(H209="Ikke spillet","Ikke spillet",IF(H209="Planlagt","Planlagt",IF(OR(H209="",P209="",Q209=""),"",IF(H209="Vundet",IF(R209&gt;0,"Uventet sejr","Ventet sejr"),IF(R209&gt;=0,"Ventet nederlag","Uventet nederlag")))))</x:f>
      </x:c>
      <x:c r="U209" s="62" t="str">
        <x:f>IF(OR(H209="Ikke spillet",H209="Planlagt"),"",IF(OR(G209="",H209="",P209="",Q209=""),"",IF(AND(F209="Ungdomsholdturnering",OR(G209="Double",G209="Mix"),H209="Tabt"),0,IF(H209="Vundet",IF(R209&gt;0,VLOOKUP(ABS(R209),'BD Pointtabel'!$A$4:$G$15,4,TRUE),VLOOKUP(ABS(R209),'BD Pointtabel'!$A$4:$G$15,7,TRUE)),IF(R209&gt;=0,VLOOKUP(ABS(R209),'BD Pointtabel'!$A$4:$G$15,6,TRUE),VLOOKUP(ABS(R209),'BD Pointtabel'!$A$4:$G$15,3,TRUE))))))</x:f>
      </x:c>
      <x:c r="V209" s="62" t="str">
        <x:f>IF(G209="","",SUMIFS($U$10:U209,$AG$10:AG209,AG209,$G$10:G209,G209))</x:f>
      </x:c>
      <x:c r="W209" s="62" t="str">
        <x:f>IF(C209="","",IF(AN209&lt;&gt;1,"",IF(G209="Single",AA209,IF(G209="Double",AC209,AE209))))</x:f>
      </x:c>
      <x:c r="X209" s="62" t="str">
        <x:f>IF(C209="","",IF(AN209&lt;&gt;1,"",ROUND(((AA209*AB209+AC209*AD209+AE209*AF209)/(AB209+AD209+AF209))+IF((MAX(AA209,AC209,AE209)-(AA209+AC209+AE209-MAX(AA209,AC209,AE209)-MIN(AA209,AC209,AE209)))&lt;'Model &amp; indstillinger'!$E$16,'Model &amp; indstillinger'!$E$18,'Model &amp; indstillinger'!$E$20)*(MAX(AA209,AC209,AE209)-((AA209*AB209+AC209*AD209+AE209*AF209)/(AB209+AD209+AF209))),0)))</x:f>
      </x:c>
      <x:c r="Y209" s="62" t="str">
        <x:f>IF(X209="","",'Model &amp; indstillinger'!$B$4-X209)</x:f>
      </x:c>
      <x:c r="Z209" s="62" t="str">
        <x:f>IF(C209="","",IF(H209="Planlagt","Planlagt – ingen point endnu",IF(H209="Ikke spillet","Ikke spillet – tæller ikke som kamp og giver ingen point",IF(AN209=1,"STÆVNE SLUT – samlet point tilskrives","Frosset pointgrundlag – ingen tilskrivning endnu"))))</x:f>
      </x:c>
      <x:c r="AA209" s="60" t="str">
        <x:f>IF(C209="","",'Model &amp; indstillinger'!$B$6+SUMIFS($U$10:U209,$G$10:G209,"Single"))</x:f>
      </x:c>
      <x:c r="AB209" s="60" t="str">
        <x:f>IF(C209="","",'Model &amp; indstillinger'!$B$7+COUNTIFS($G$10:G209,"Single",$AK$10:AK209,1))</x:f>
      </x:c>
      <x:c r="AC209" s="60" t="str">
        <x:f>IF(C209="","",'Model &amp; indstillinger'!$B$8+SUMIFS($U$10:U209,$G$10:G209,"Double"))</x:f>
      </x:c>
      <x:c r="AD209" s="60" t="str">
        <x:f>IF(C209="","",'Model &amp; indstillinger'!$B$9+COUNTIFS($G$10:G209,"Double",$AK$10:AK209,1))</x:f>
      </x:c>
      <x:c r="AE209" s="60" t="str">
        <x:f>IF(C209="","",'Model &amp; indstillinger'!$B$10+SUMIFS($U$10:U209,$G$10:G209,"Mix"))</x:f>
      </x:c>
      <x:c r="AF209" s="60" t="str">
        <x:f>IF(C209="","",'Model &amp; indstillinger'!$B$11+COUNTIFS($G$10:G209,"Mix",$AK$10:AK209,1))</x:f>
      </x:c>
      <x:c r="AG209" s="60" t="str">
        <x:f>IF(C209="","",IF(C209=C208,AG208,AG208+1))</x:f>
      </x:c>
      <x:c r="AH209" s="60" t="str">
        <x:f>IF(C209="","",IF(AG209=AG208,AH208,AA208))</x:f>
      </x:c>
      <x:c r="AI209" s="60" t="str">
        <x:f>IF(C209="","",IF(AG209=AG208,AI208,AC208))</x:f>
      </x:c>
      <x:c r="AJ209" s="60" t="str">
        <x:f>IF(C209="","",IF(AG209=AG208,AJ208,AE208))</x:f>
      </x:c>
      <x:c r="AK209" s="60" t="n">
        <x:f>IF(OR(H209="Vundet",H209="Tabt"),1,0)</x:f>
        <x:v>0</x:v>
      </x:c>
      <x:c r="AL209" s="60" t="n"/>
      <x:c r="AM209" s="60" t="n">
        <x:f>MAX($AG$10:$AG$209)</x:f>
        <x:v>4</x:v>
      </x:c>
      <x:c r="AN209" s="60" t="str">
        <x:f>IF(C209="","",0)</x:f>
      </x:c>
      <x:c r="AO209" s="60" t="n"/>
      <x:c r="AP209" s="60" t="n">
        <x:f>MAX($AG$10:$AG$209)</x:f>
        <x:v>4</x:v>
      </x:c>
      <x:c r="AQ209" t="n">
        <x:f>AG209</x:f>
        <x:v>0</x:v>
      </x:c>
      <x:c r="AR209" t="n">
        <x:f>C209</x:f>
        <x:v>0</x:v>
      </x:c>
      <x:c r="AS209" t="n">
        <x:f>E209</x:f>
        <x:v>0</x:v>
      </x:c>
    </x:row>
    <x:row r="210">
      <x:c r="A210" s="60" t="n"/>
      <x:c r="B210" s="60" t="n"/>
      <x:c r="C210" s="60" t="n"/>
      <x:c r="D210" s="60" t="n"/>
      <x:c r="E210" s="60" t="n"/>
      <x:c r="F210" s="60" t="n"/>
      <x:c r="G210" s="60" t="n"/>
      <x:c r="H210" s="60" t="n"/>
      <x:c r="I210" s="60" t="n"/>
      <x:c r="J210" s="60" t="n"/>
      <x:c r="K210" s="60" t="n"/>
      <x:c r="L210" s="60" t="n"/>
      <x:c r="M210" s="60" t="n"/>
      <x:c r="N210" s="60" t="n"/>
      <x:c r="O210" s="60" t="n"/>
      <x:c r="P210" s="60" t="n"/>
      <x:c r="Q210" s="60" t="n"/>
      <x:c r="R210" s="60" t="n"/>
      <x:c r="S210" s="60" t="n"/>
      <x:c r="T210" s="60" t="n"/>
      <x:c r="U210" s="60" t="n"/>
      <x:c r="V210" s="60" t="n"/>
      <x:c r="W210" s="60" t="n"/>
      <x:c r="X210" s="60" t="n"/>
      <x:c r="Y210" s="60" t="n"/>
      <x:c r="Z210" s="60" t="n"/>
      <x:c r="AA210" s="60" t="n"/>
      <x:c r="AB210" s="60" t="n"/>
      <x:c r="AC210" s="60" t="n"/>
      <x:c r="AD210" s="60" t="n"/>
      <x:c r="AE210" s="60" t="n"/>
      <x:c r="AF210" s="60" t="n"/>
      <x:c r="AG210" s="60" t="n"/>
      <x:c r="AH210" s="60" t="n"/>
      <x:c r="AI210" s="60" t="n"/>
      <x:c r="AJ210" s="60" t="n"/>
      <x:c r="AK210" s="60" t="n"/>
      <x:c r="AL210" s="60" t="n"/>
      <x:c r="AM210" s="60" t="n"/>
      <x:c r="AN210" s="60" t="n"/>
      <x:c r="AO210" s="60" t="n"/>
      <x:c r="AP210" s="60" t="n"/>
    </x:row>
    <x:row r="211">
      <x:c r="A211" s="60" t="n"/>
      <x:c r="B211" s="60" t="n"/>
      <x:c r="C211" s="60" t="n"/>
      <x:c r="D211" s="60" t="n"/>
      <x:c r="E211" s="60" t="n"/>
      <x:c r="F211" s="60" t="n"/>
      <x:c r="G211" s="60" t="n"/>
      <x:c r="H211" s="60" t="n"/>
      <x:c r="I211" s="60" t="n"/>
      <x:c r="J211" s="60" t="n"/>
      <x:c r="K211" s="60" t="n"/>
      <x:c r="L211" s="60" t="n"/>
      <x:c r="M211" s="60" t="n"/>
      <x:c r="N211" s="60" t="n"/>
      <x:c r="O211" s="60" t="n"/>
      <x:c r="P211" s="60" t="n"/>
      <x:c r="Q211" s="60" t="n"/>
      <x:c r="R211" s="60" t="n"/>
      <x:c r="S211" s="60" t="n"/>
      <x:c r="T211" s="60" t="n"/>
      <x:c r="U211" s="60" t="n"/>
      <x:c r="V211" s="60" t="n"/>
      <x:c r="W211" s="60" t="n"/>
      <x:c r="X211" s="60" t="n"/>
      <x:c r="Y211" s="60" t="n"/>
      <x:c r="Z211" s="60" t="n"/>
      <x:c r="AA211" s="60" t="n"/>
      <x:c r="AB211" s="60" t="n"/>
      <x:c r="AC211" s="60" t="n"/>
      <x:c r="AD211" s="60" t="n"/>
      <x:c r="AE211" s="60" t="n"/>
      <x:c r="AF211" s="60" t="n"/>
      <x:c r="AG211" s="60" t="n"/>
      <x:c r="AH211" s="60" t="n"/>
      <x:c r="AI211" s="60" t="n"/>
      <x:c r="AJ211" s="60" t="n"/>
      <x:c r="AK211" s="60" t="n"/>
      <x:c r="AL211" s="60" t="n"/>
      <x:c r="AM211" s="60" t="n"/>
      <x:c r="AN211" s="60" t="n"/>
      <x:c r="AO211" s="60" t="n"/>
      <x:c r="AP211" s="60" t="n"/>
    </x:row>
    <x:row r="212">
      <x:c r="A212" s="60" t="n"/>
      <x:c r="B212" s="60" t="n"/>
      <x:c r="C212" s="60" t="n"/>
      <x:c r="D212" s="60" t="n"/>
      <x:c r="E212" s="60" t="n"/>
      <x:c r="F212" s="60" t="n"/>
      <x:c r="G212" s="60" t="n"/>
      <x:c r="H212" s="60" t="n"/>
      <x:c r="I212" s="60" t="n"/>
      <x:c r="J212" s="60" t="n"/>
      <x:c r="K212" s="60" t="n"/>
      <x:c r="L212" s="60" t="n"/>
      <x:c r="M212" s="60" t="n"/>
      <x:c r="N212" s="60" t="n"/>
      <x:c r="O212" s="60" t="n"/>
      <x:c r="P212" s="60" t="n"/>
      <x:c r="Q212" s="60" t="n"/>
      <x:c r="R212" s="60" t="n"/>
      <x:c r="S212" s="60" t="n"/>
      <x:c r="T212" s="60" t="n"/>
      <x:c r="U212" s="60" t="n"/>
      <x:c r="V212" s="60" t="n"/>
      <x:c r="W212" s="60" t="n"/>
      <x:c r="X212" s="60" t="n"/>
      <x:c r="Y212" s="60" t="n"/>
      <x:c r="Z212" s="60" t="n"/>
      <x:c r="AA212" s="60" t="n"/>
      <x:c r="AB212" s="60" t="n"/>
      <x:c r="AC212" s="60" t="n"/>
      <x:c r="AD212" s="60" t="n"/>
      <x:c r="AE212" s="60" t="n"/>
      <x:c r="AF212" s="60" t="n"/>
      <x:c r="AG212" s="60" t="n"/>
      <x:c r="AH212" s="60" t="n"/>
      <x:c r="AI212" s="60" t="n"/>
      <x:c r="AJ212" s="60" t="n"/>
      <x:c r="AK212" s="60" t="n"/>
      <x:c r="AL212" s="60" t="n"/>
      <x:c r="AM212" s="60" t="n"/>
      <x:c r="AN212" s="60" t="n"/>
      <x:c r="AO212" s="60" t="n"/>
      <x:c r="AP212" s="60" t="n"/>
    </x:row>
    <x:row r="213">
      <x:c r="A213" s="60" t="n"/>
      <x:c r="B213" s="60" t="n"/>
      <x:c r="C213" s="60" t="n"/>
      <x:c r="D213" s="60" t="n"/>
      <x:c r="E213" s="60" t="n"/>
      <x:c r="F213" s="60" t="n"/>
      <x:c r="G213" s="60" t="n"/>
      <x:c r="H213" s="60" t="n"/>
      <x:c r="I213" s="60" t="n"/>
      <x:c r="J213" s="60" t="n"/>
      <x:c r="K213" s="60" t="n"/>
      <x:c r="L213" s="60" t="n"/>
      <x:c r="M213" s="60" t="n"/>
      <x:c r="N213" s="60" t="n"/>
      <x:c r="O213" s="60" t="n"/>
      <x:c r="P213" s="60" t="n"/>
      <x:c r="Q213" s="60" t="n"/>
      <x:c r="R213" s="60" t="n"/>
      <x:c r="S213" s="60" t="n"/>
      <x:c r="T213" s="60" t="n"/>
      <x:c r="U213" s="60" t="n"/>
      <x:c r="V213" s="60" t="n"/>
      <x:c r="W213" s="60" t="n"/>
      <x:c r="X213" s="60" t="n"/>
      <x:c r="Y213" s="60" t="n"/>
      <x:c r="Z213" s="60" t="n"/>
      <x:c r="AA213" s="60" t="n"/>
      <x:c r="AB213" s="60" t="n"/>
      <x:c r="AC213" s="60" t="n"/>
      <x:c r="AD213" s="60" t="n"/>
      <x:c r="AE213" s="60" t="n"/>
      <x:c r="AF213" s="60" t="n"/>
      <x:c r="AG213" s="60" t="n"/>
      <x:c r="AH213" s="60" t="n"/>
      <x:c r="AI213" s="60" t="n"/>
      <x:c r="AJ213" s="60" t="n"/>
      <x:c r="AK213" s="60" t="n"/>
      <x:c r="AL213" s="60" t="n"/>
      <x:c r="AM213" s="60" t="n"/>
      <x:c r="AN213" s="60" t="n"/>
      <x:c r="AO213" s="60" t="n"/>
      <x:c r="AP213" s="60" t="n"/>
    </x:row>
    <x:row r="214">
      <x:c r="A214" s="60" t="n"/>
      <x:c r="B214" s="60" t="n"/>
      <x:c r="C214" s="60" t="n"/>
      <x:c r="D214" s="60" t="n"/>
      <x:c r="E214" s="60" t="n"/>
      <x:c r="F214" s="60" t="n"/>
      <x:c r="G214" s="60" t="n"/>
      <x:c r="H214" s="60" t="n"/>
      <x:c r="I214" s="60" t="n"/>
      <x:c r="J214" s="60" t="n"/>
      <x:c r="K214" s="60" t="n"/>
      <x:c r="L214" s="60" t="n"/>
      <x:c r="M214" s="60" t="n"/>
      <x:c r="N214" s="60" t="n"/>
      <x:c r="O214" s="60" t="n"/>
      <x:c r="P214" s="60" t="n"/>
      <x:c r="Q214" s="60" t="n"/>
      <x:c r="R214" s="60" t="n"/>
      <x:c r="S214" s="60" t="n"/>
      <x:c r="T214" s="60" t="n"/>
      <x:c r="U214" s="60" t="n"/>
      <x:c r="V214" s="60" t="n"/>
      <x:c r="W214" s="60" t="n"/>
      <x:c r="X214" s="60" t="n"/>
      <x:c r="Y214" s="60" t="n"/>
      <x:c r="Z214" s="60" t="n"/>
      <x:c r="AA214" s="60" t="n"/>
      <x:c r="AB214" s="60" t="n"/>
      <x:c r="AC214" s="60" t="n"/>
      <x:c r="AD214" s="60" t="n"/>
      <x:c r="AE214" s="60" t="n"/>
      <x:c r="AF214" s="60" t="n"/>
      <x:c r="AG214" s="60" t="n"/>
      <x:c r="AH214" s="60" t="n"/>
      <x:c r="AI214" s="60" t="n"/>
      <x:c r="AJ214" s="60" t="n"/>
      <x:c r="AK214" s="60" t="n"/>
      <x:c r="AL214" s="60" t="n"/>
      <x:c r="AM214" s="60" t="n"/>
      <x:c r="AN214" s="60" t="n"/>
      <x:c r="AO214" s="60" t="n"/>
      <x:c r="AP214" s="60" t="n"/>
    </x:row>
    <x:row r="215">
      <x:c r="A215" s="60" t="n"/>
      <x:c r="B215" s="60" t="n"/>
      <x:c r="C215" s="60" t="n"/>
      <x:c r="D215" s="60" t="n"/>
      <x:c r="E215" s="60" t="n"/>
      <x:c r="F215" s="60" t="n"/>
      <x:c r="G215" s="60" t="n"/>
      <x:c r="H215" s="60" t="n"/>
      <x:c r="I215" s="60" t="n"/>
      <x:c r="J215" s="60" t="n"/>
      <x:c r="K215" s="60" t="n"/>
      <x:c r="L215" s="60" t="n"/>
      <x:c r="M215" s="60" t="n"/>
      <x:c r="N215" s="60" t="n"/>
      <x:c r="O215" s="60" t="n"/>
      <x:c r="P215" s="60" t="n"/>
      <x:c r="Q215" s="60" t="n"/>
      <x:c r="R215" s="60" t="n"/>
      <x:c r="S215" s="60" t="n"/>
      <x:c r="T215" s="60" t="n"/>
      <x:c r="U215" s="60" t="n"/>
      <x:c r="V215" s="60" t="n"/>
      <x:c r="W215" s="60" t="n"/>
      <x:c r="X215" s="60" t="n"/>
      <x:c r="Y215" s="60" t="n"/>
      <x:c r="Z215" s="60" t="n"/>
      <x:c r="AA215" s="60" t="n"/>
      <x:c r="AB215" s="60" t="n"/>
      <x:c r="AC215" s="60" t="n"/>
      <x:c r="AD215" s="60" t="n"/>
      <x:c r="AE215" s="60" t="n"/>
      <x:c r="AF215" s="60" t="n"/>
      <x:c r="AG215" s="60" t="n"/>
      <x:c r="AH215" s="60" t="n"/>
      <x:c r="AI215" s="60" t="n"/>
      <x:c r="AJ215" s="60" t="n"/>
      <x:c r="AK215" s="60" t="n"/>
      <x:c r="AL215" s="60" t="n"/>
      <x:c r="AM215" s="60" t="n"/>
      <x:c r="AN215" s="60" t="n"/>
      <x:c r="AO215" s="60" t="n"/>
      <x:c r="AP215" s="60" t="n"/>
    </x:row>
    <x:row r="216">
      <x:c r="A216" s="60" t="n"/>
      <x:c r="B216" s="60" t="n"/>
      <x:c r="C216" s="60" t="n"/>
      <x:c r="D216" s="60" t="n"/>
      <x:c r="E216" s="60" t="n"/>
      <x:c r="F216" s="60" t="n"/>
      <x:c r="G216" s="60" t="n"/>
      <x:c r="H216" s="60" t="n"/>
      <x:c r="I216" s="60" t="n"/>
      <x:c r="J216" s="60" t="n"/>
      <x:c r="K216" s="60" t="n"/>
      <x:c r="L216" s="60" t="n"/>
      <x:c r="M216" s="60" t="n"/>
      <x:c r="N216" s="60" t="n"/>
      <x:c r="O216" s="60" t="n"/>
      <x:c r="P216" s="60" t="n"/>
      <x:c r="Q216" s="60" t="n"/>
      <x:c r="R216" s="60" t="n"/>
      <x:c r="S216" s="60" t="n"/>
      <x:c r="T216" s="60" t="n"/>
      <x:c r="U216" s="60" t="n"/>
      <x:c r="V216" s="60" t="n"/>
      <x:c r="W216" s="60" t="n"/>
      <x:c r="X216" s="60" t="n"/>
      <x:c r="Y216" s="60" t="n"/>
      <x:c r="Z216" s="60" t="n"/>
      <x:c r="AA216" s="60" t="n"/>
      <x:c r="AB216" s="60" t="n"/>
      <x:c r="AC216" s="60" t="n"/>
      <x:c r="AD216" s="60" t="n"/>
      <x:c r="AE216" s="60" t="n"/>
      <x:c r="AF216" s="60" t="n"/>
      <x:c r="AG216" s="60" t="n"/>
      <x:c r="AH216" s="60" t="n"/>
      <x:c r="AI216" s="60" t="n"/>
      <x:c r="AJ216" s="60" t="n"/>
      <x:c r="AK216" s="60" t="n"/>
      <x:c r="AL216" s="60" t="n"/>
      <x:c r="AM216" s="60" t="n"/>
      <x:c r="AN216" s="60" t="n"/>
      <x:c r="AO216" s="60" t="n"/>
      <x:c r="AP216" s="60" t="n"/>
    </x:row>
    <x:row r="217">
      <x:c r="A217" s="60" t="n"/>
      <x:c r="B217" s="60" t="n"/>
      <x:c r="C217" s="60" t="n"/>
      <x:c r="D217" s="60" t="n"/>
      <x:c r="E217" s="60" t="n"/>
      <x:c r="F217" s="60" t="n"/>
      <x:c r="G217" s="60" t="n"/>
      <x:c r="H217" s="60" t="n"/>
      <x:c r="I217" s="60" t="n"/>
      <x:c r="J217" s="60" t="n"/>
      <x:c r="K217" s="60" t="n"/>
      <x:c r="L217" s="60" t="n"/>
      <x:c r="M217" s="60" t="n"/>
      <x:c r="N217" s="60" t="n"/>
      <x:c r="O217" s="60" t="n"/>
      <x:c r="P217" s="60" t="n"/>
      <x:c r="Q217" s="60" t="n"/>
      <x:c r="R217" s="60" t="n"/>
      <x:c r="S217" s="60" t="n"/>
      <x:c r="T217" s="60" t="n"/>
      <x:c r="U217" s="60" t="n"/>
      <x:c r="V217" s="60" t="n"/>
      <x:c r="W217" s="60" t="n"/>
      <x:c r="X217" s="60" t="n"/>
      <x:c r="Y217" s="60" t="n"/>
      <x:c r="Z217" s="60" t="n"/>
      <x:c r="AA217" s="60" t="n"/>
      <x:c r="AB217" s="60" t="n"/>
      <x:c r="AC217" s="60" t="n"/>
      <x:c r="AD217" s="60" t="n"/>
      <x:c r="AE217" s="60" t="n"/>
      <x:c r="AF217" s="60" t="n"/>
      <x:c r="AG217" s="60" t="n"/>
      <x:c r="AH217" s="60" t="n"/>
      <x:c r="AI217" s="60" t="n"/>
      <x:c r="AJ217" s="60" t="n"/>
      <x:c r="AK217" s="60" t="n"/>
      <x:c r="AL217" s="60" t="n"/>
      <x:c r="AM217" s="60" t="n"/>
      <x:c r="AN217" s="60" t="n"/>
      <x:c r="AO217" s="60" t="n"/>
      <x:c r="AP217" s="60" t="n"/>
    </x:row>
    <x:row r="218">
      <x:c r="A218" s="60" t="n"/>
      <x:c r="B218" s="60" t="n"/>
      <x:c r="C218" s="60" t="n"/>
      <x:c r="D218" s="60" t="n"/>
      <x:c r="E218" s="60" t="n"/>
      <x:c r="F218" s="60" t="n"/>
      <x:c r="G218" s="60" t="n"/>
      <x:c r="H218" s="60" t="n"/>
      <x:c r="I218" s="60" t="n"/>
      <x:c r="J218" s="60" t="n"/>
      <x:c r="K218" s="60" t="n"/>
      <x:c r="L218" s="60" t="n"/>
      <x:c r="M218" s="60" t="n"/>
      <x:c r="N218" s="60" t="n"/>
      <x:c r="O218" s="60" t="n"/>
      <x:c r="P218" s="60" t="n"/>
      <x:c r="Q218" s="60" t="n"/>
      <x:c r="R218" s="60" t="n"/>
      <x:c r="S218" s="60" t="n"/>
      <x:c r="T218" s="60" t="n"/>
      <x:c r="U218" s="60" t="n"/>
      <x:c r="V218" s="60" t="n"/>
      <x:c r="W218" s="60" t="n"/>
      <x:c r="X218" s="60" t="n"/>
      <x:c r="Y218" s="60" t="n"/>
      <x:c r="Z218" s="60" t="n"/>
      <x:c r="AA218" s="60" t="n"/>
      <x:c r="AB218" s="60" t="n"/>
      <x:c r="AC218" s="60" t="n"/>
      <x:c r="AD218" s="60" t="n"/>
      <x:c r="AE218" s="60" t="n"/>
      <x:c r="AF218" s="60" t="n"/>
      <x:c r="AG218" s="60" t="n"/>
      <x:c r="AH218" s="60" t="n"/>
      <x:c r="AI218" s="60" t="n"/>
      <x:c r="AJ218" s="60" t="n"/>
      <x:c r="AK218" s="60" t="n"/>
      <x:c r="AL218" s="60" t="n"/>
      <x:c r="AM218" s="60" t="n"/>
      <x:c r="AN218" s="60" t="n"/>
      <x:c r="AO218" s="60" t="n"/>
      <x:c r="AP218" s="60" t="n"/>
    </x:row>
    <x:row r="219">
      <x:c r="A219" s="60" t="n"/>
      <x:c r="B219" s="60" t="n"/>
      <x:c r="C219" s="60" t="n"/>
      <x:c r="D219" s="60" t="n"/>
      <x:c r="E219" s="60" t="n"/>
      <x:c r="F219" s="60" t="n"/>
      <x:c r="G219" s="60" t="n"/>
      <x:c r="H219" s="60" t="n"/>
      <x:c r="I219" s="60" t="n"/>
      <x:c r="J219" s="60" t="n"/>
      <x:c r="K219" s="60" t="n"/>
      <x:c r="L219" s="60" t="n"/>
      <x:c r="M219" s="60" t="n"/>
      <x:c r="N219" s="60" t="n"/>
      <x:c r="O219" s="60" t="n"/>
      <x:c r="P219" s="60" t="n"/>
      <x:c r="Q219" s="60" t="n"/>
      <x:c r="R219" s="60" t="n"/>
      <x:c r="S219" s="60" t="n"/>
      <x:c r="T219" s="60" t="n"/>
      <x:c r="U219" s="60" t="n"/>
      <x:c r="V219" s="60" t="n"/>
      <x:c r="W219" s="60" t="n"/>
      <x:c r="X219" s="60" t="n"/>
      <x:c r="Y219" s="60" t="n"/>
      <x:c r="Z219" s="60" t="n"/>
      <x:c r="AA219" s="60" t="n"/>
      <x:c r="AB219" s="60" t="n"/>
      <x:c r="AC219" s="60" t="n"/>
      <x:c r="AD219" s="60" t="n"/>
      <x:c r="AE219" s="60" t="n"/>
      <x:c r="AF219" s="60" t="n"/>
      <x:c r="AG219" s="60" t="n"/>
      <x:c r="AH219" s="60" t="n"/>
      <x:c r="AI219" s="60" t="n"/>
      <x:c r="AJ219" s="60" t="n"/>
      <x:c r="AK219" s="60" t="n"/>
      <x:c r="AL219" s="60" t="n"/>
      <x:c r="AM219" s="60" t="n"/>
      <x:c r="AN219" s="60" t="n"/>
      <x:c r="AO219" s="60" t="n"/>
      <x:c r="AP219" s="60" t="n"/>
    </x:row>
    <x:row r="220">
      <x:c r="A220" s="60" t="n"/>
      <x:c r="B220" s="60" t="n"/>
      <x:c r="C220" s="60" t="n"/>
      <x:c r="D220" s="60" t="n"/>
      <x:c r="E220" s="60" t="n"/>
      <x:c r="F220" s="60" t="n"/>
      <x:c r="G220" s="60" t="n"/>
      <x:c r="H220" s="60" t="n"/>
      <x:c r="I220" s="60" t="n"/>
      <x:c r="J220" s="60" t="n"/>
      <x:c r="K220" s="60" t="n"/>
      <x:c r="L220" s="60" t="n"/>
      <x:c r="M220" s="60" t="n"/>
      <x:c r="N220" s="60" t="n"/>
      <x:c r="O220" s="60" t="n"/>
      <x:c r="P220" s="60" t="n"/>
      <x:c r="Q220" s="60" t="n"/>
      <x:c r="R220" s="60" t="n"/>
      <x:c r="S220" s="60" t="n"/>
      <x:c r="T220" s="60" t="n"/>
      <x:c r="U220" s="60" t="n"/>
      <x:c r="V220" s="60" t="n"/>
      <x:c r="W220" s="60" t="n"/>
      <x:c r="X220" s="60" t="n"/>
      <x:c r="Y220" s="60" t="n"/>
      <x:c r="Z220" s="60" t="n"/>
      <x:c r="AA220" s="60" t="n"/>
      <x:c r="AB220" s="60" t="n"/>
      <x:c r="AC220" s="60" t="n"/>
      <x:c r="AD220" s="60" t="n"/>
      <x:c r="AE220" s="60" t="n"/>
      <x:c r="AF220" s="60" t="n"/>
      <x:c r="AG220" s="60" t="n"/>
      <x:c r="AH220" s="60" t="n"/>
      <x:c r="AI220" s="60" t="n"/>
      <x:c r="AJ220" s="60" t="n"/>
      <x:c r="AK220" s="60" t="n"/>
      <x:c r="AL220" s="60" t="n"/>
      <x:c r="AM220" s="60" t="n"/>
      <x:c r="AN220" s="60" t="n"/>
      <x:c r="AO220" s="60" t="n"/>
      <x:c r="AP220" s="60" t="n"/>
    </x:row>
  </x:sheetData>
  <x:mergeCells>
    <x:mergeCell ref="A1:Z1"/>
    <x:mergeCell ref="J4:Z4"/>
    <x:mergeCell ref="A8:Z8"/>
    <x:mergeCell ref="A2:Z2"/>
    <x:mergeCell ref="A5:H6"/>
    <x:mergeCell ref="Q7:Z7"/>
  </x:mergeCells>
  <x:conditionalFormatting sqref="U10:U209">
    <x:cfRule type="cellIs" dxfId="0" priority="1" operator="greaterThan">
      <x:formula>0</x:formula>
    </x:cfRule>
    <x:cfRule type="cellIs" dxfId="1" priority="2" operator="lessThan">
      <x:formula>0</x:formula>
    </x:cfRule>
  </x:conditionalFormatting>
  <x:conditionalFormatting sqref="A10:Z209">
    <x:cfRule type="expression" dxfId="2" priority="3">
      <x:formula>$H10="Ikke spillet"</x:formula>
    </x:cfRule>
    <x:cfRule type="expression" dxfId="4" priority="4">
      <x:formula>$H10="Planlagt"</x:formula>
    </x:cfRule>
  </x:conditionalFormatting>
  <x:dataValidations count="5">
    <x:dataValidation type="list" allowBlank="0" showDropDown="0" showInputMessage="0" showErrorMessage="0" sqref="D10:D209">
      <x:formula1>"Pulje,Kvartfinale,Semifinale,Finale,Andet"</x:formula1>
    </x:dataValidation>
    <x:dataValidation type="list" allowBlank="0" showDropDown="0" showInputMessage="0" showErrorMessage="0" sqref="E10:E209">
      <x:formula1>"Sjælland,Fyn,Jylland,Andet"</x:formula1>
    </x:dataValidation>
    <x:dataValidation type="list" allowBlank="0" showDropDown="0" showInputMessage="0" showErrorMessage="0" sqref="F10:F209">
      <x:formula1>"Individuel turnering,Ungdomsholdturnering"</x:formula1>
    </x:dataValidation>
    <x:dataValidation type="list" allowBlank="0" showDropDown="0" showInputMessage="0" showErrorMessage="0" sqref="G10:G209">
      <x:formula1>"Single,Double,Mix"</x:formula1>
    </x:dataValidation>
    <x:dataValidation type="list" allowBlank="0" showDropDown="0" showInputMessage="0" showErrorMessage="0" sqref="H10:H209">
      <x:formula1>"Planlagt,Vundet,Tabt,Ikke spillet"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sheetData>
    <x:row r="1">
      <x:c r="A1" s="116" t="inlineStr">
        <x:is>
          <x:t xml:space="preserve">Stævne- og regionsanalyse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</x:row>
    <x:row r="2">
      <x:c r="A2" s="117" t="inlineStr">
        <x:is>
          <x:t xml:space="preserve">Regionoversigten opdateres automatisk fra Kampregistrering. Fyn 16/08/2026 er lagt ind som historisk startpunkt, fordi de enkelte modstanderpoint fra dagens kampe ikke er registreret.</x:t>
        </x:is>
      </x:c>
      <x:c r="B2" s="1" t="n"/>
      <x:c r="C2" s="1" t="n"/>
      <x:c r="D2" s="1" t="n"/>
      <x:c r="E2" s="1" t="n"/>
      <x:c r="F2" s="1" t="n"/>
      <x:c r="G2" s="1" t="n"/>
      <x:c r="H2" s="1" t="n"/>
      <x:c r="I2" s="1" t="n"/>
      <x:c r="J2" s="1" t="n"/>
      <x:c r="K2" s="1" t="n"/>
      <x:c r="L2" s="1" t="n"/>
      <x:c r="M2" s="1" t="n"/>
      <x:c r="N2" s="1" t="n"/>
      <x:c r="O2" s="1" t="n"/>
    </x:row>
    <x:row r="3">
      <x:c r="A3" s="60" t="n"/>
      <x:c r="B3" s="60" t="n"/>
      <x:c r="C3" s="60" t="n"/>
      <x:c r="D3" s="60" t="n"/>
      <x:c r="E3" s="60" t="n"/>
      <x:c r="F3" s="60" t="n"/>
      <x:c r="G3" s="60" t="n"/>
      <x:c r="H3" s="60" t="n"/>
      <x:c r="I3" s="60" t="n"/>
      <x:c r="J3" s="60" t="n"/>
      <x:c r="K3" s="60" t="n"/>
      <x:c r="L3" s="60" t="n"/>
      <x:c r="M3" s="60" t="n"/>
      <x:c r="N3" s="60" t="n"/>
      <x:c r="O3" s="60" t="n"/>
    </x:row>
    <x:row r="4">
      <x:c r="A4" s="85" t="inlineStr">
        <x:is>
          <x:t xml:space="preserve">Historisk stævne</x:t>
        </x:is>
      </x:c>
      <x:c r="B4" s="85" t="inlineStr">
        <x:is>
          <x:t xml:space="preserve">Dato</x:t>
        </x:is>
      </x:c>
      <x:c r="C4" s="85" t="inlineStr">
        <x:is>
          <x:t xml:space="preserve">Region</x:t>
        </x:is>
      </x:c>
      <x:c r="D4" s="85" t="inlineStr">
        <x:is>
          <x:t xml:space="preserve">Kampe</x:t>
        </x:is>
      </x:c>
      <x:c r="E4" s="85" t="inlineStr">
        <x:is>
          <x:t xml:space="preserve">Sejre</x:t>
        </x:is>
      </x:c>
      <x:c r="F4" s="85" t="inlineStr">
        <x:is>
          <x:t xml:space="preserve">Nederlag</x:t>
        </x:is>
      </x:c>
      <x:c r="G4" s="85" t="inlineStr">
        <x:is>
          <x:t xml:space="preserve">Netto BD-point</x:t>
        </x:is>
      </x:c>
      <x:c r="H4" s="85" t="inlineStr">
        <x:is>
          <x:t xml:space="preserve">TN før</x:t>
        </x:is>
      </x:c>
      <x:c r="I4" s="85" t="inlineStr">
        <x:is>
          <x:t xml:space="preserve">TN efter</x:t>
        </x:is>
      </x:c>
      <x:c r="J4" s="60" t="inlineStr">
        <x:is>
          <x:t xml:space="preserve">Region</x:t>
        </x:is>
      </x:c>
      <x:c r="K4" s="60" t="inlineStr">
        <x:is>
          <x:t xml:space="preserve">Kampe</x:t>
        </x:is>
      </x:c>
      <x:c r="L4" s="60" t="inlineStr">
        <x:is>
          <x:t xml:space="preserve">Sejre</x:t>
        </x:is>
      </x:c>
      <x:c r="M4" s="60" t="inlineStr">
        <x:is>
          <x:t xml:space="preserve">Sejrsprocent</x:t>
        </x:is>
      </x:c>
      <x:c r="N4" s="60" t="inlineStr">
        <x:is>
          <x:t xml:space="preserve">Netto BD-point</x:t>
        </x:is>
      </x:c>
      <x:c r="O4" s="60" t="inlineStr">
        <x:is>
          <x:t xml:space="preserve">BD-point/kamp</x:t>
        </x:is>
      </x:c>
    </x:row>
    <x:row r="5">
      <x:c r="A5" s="60" t="inlineStr">
        <x:is>
          <x:t xml:space="preserve">Fyn – 16/08/2026</x:t>
        </x:is>
      </x:c>
      <x:c r="B5" s="60" t="inlineStr">
        <x:is>
          <x:t xml:space="preserve">16-08-2026</x:t>
        </x:is>
      </x:c>
      <x:c r="C5" s="60" t="inlineStr">
        <x:is>
          <x:t xml:space="preserve">Fyn</x:t>
        </x:is>
      </x:c>
      <x:c r="D5" s="60" t="n">
        <x:v>7</x:v>
      </x:c>
      <x:c r="E5" s="60" t="n">
        <x:v>4</x:v>
      </x:c>
      <x:c r="F5" s="60" t="n">
        <x:v>3</x:v>
      </x:c>
      <x:c r="G5" s="60" t="n">
        <x:v>55</x:v>
      </x:c>
      <x:c r="H5" s="60" t="n">
        <x:v>1655</x:v>
      </x:c>
      <x:c r="I5" s="60" t="n">
        <x:v>1676</x:v>
      </x:c>
      <x:c r="J5" s="60" t="inlineStr">
        <x:is>
          <x:t xml:space="preserve">Sjælland</x:t>
        </x:is>
      </x:c>
      <x:c r="K5" s="60" t="n">
        <x:f>COUNTIFS(Kampregistrering!$E$10:$E$209,J5,Kampregistrering!$AK$10:$AK$209,1)+IF(J5="Fyn",7,0)</x:f>
        <x:v>11</x:v>
      </x:c>
      <x:c r="L5" s="60" t="n">
        <x:f>COUNTIFS(Kampregistrering!$E$10:$E$209,J5,Kampregistrering!$H$10:$H$209,"Vundet")+IF(J5="Fyn",4,0)</x:f>
        <x:v>9</x:v>
      </x:c>
      <x:c r="M5" s="60" t="n">
        <x:f>IF(K5=0,0,L5/K5)</x:f>
        <x:v>0.8181818181818182</x:v>
      </x:c>
      <x:c r="N5" s="60" t="n">
        <x:f>SUMIF(Kampregistrering!$E$10:$E$209,J5,Kampregistrering!$U$10:$U$209)+IF(J5="Fyn",55,0)</x:f>
        <x:v>107</x:v>
      </x:c>
      <x:c r="O5" s="60" t="n">
        <x:f>IF(K5=0,0,N5/K5)</x:f>
        <x:v>9.727272727272727</x:v>
      </x:c>
    </x:row>
    <x:row r="6">
      <x:c r="A6" s="60" t="n"/>
      <x:c r="B6" s="60" t="n"/>
      <x:c r="C6" s="60" t="n"/>
      <x:c r="D6" s="60" t="n"/>
      <x:c r="E6" s="60" t="n"/>
      <x:c r="F6" s="60" t="n"/>
      <x:c r="G6" s="60" t="n"/>
      <x:c r="H6" s="60" t="n"/>
      <x:c r="I6" s="60" t="n"/>
      <x:c r="J6" s="60" t="inlineStr">
        <x:is>
          <x:t xml:space="preserve">Fyn</x:t>
        </x:is>
      </x:c>
      <x:c r="K6" s="60" t="n">
        <x:f>COUNTIFS(Kampregistrering!$E$10:$E$209,J6,Kampregistrering!$AK$10:$AK$209,1)+IF(J6="Fyn",7,0)</x:f>
        <x:v>7</x:v>
      </x:c>
      <x:c r="L6" s="60" t="n">
        <x:f>COUNTIFS(Kampregistrering!$E$10:$E$209,J6,Kampregistrering!$H$10:$H$209,"Vundet")+IF(J6="Fyn",4,0)</x:f>
        <x:v>4</x:v>
      </x:c>
      <x:c r="M6" s="60" t="n">
        <x:f>IF(K6=0,0,L6/K6)</x:f>
        <x:v>0.5714285714285714</x:v>
      </x:c>
      <x:c r="N6" s="60" t="n">
        <x:f>SUMIF(Kampregistrering!$E$10:$E$209,J6,Kampregistrering!$U$10:$U$209)+IF(J6="Fyn",55,0)</x:f>
        <x:v>55</x:v>
      </x:c>
      <x:c r="O6" s="60" t="n">
        <x:f>IF(K6=0,0,N6/K6)</x:f>
        <x:v>7.857142857142857</x:v>
      </x:c>
    </x:row>
    <x:row r="7">
      <x:c r="A7" s="60" t="n"/>
      <x:c r="B7" s="60" t="n"/>
      <x:c r="C7" s="60" t="n"/>
      <x:c r="D7" s="60" t="n"/>
      <x:c r="E7" s="60" t="n"/>
      <x:c r="F7" s="60" t="n"/>
      <x:c r="G7" s="60" t="n"/>
      <x:c r="H7" s="60" t="n"/>
      <x:c r="I7" s="60" t="n"/>
      <x:c r="J7" s="60" t="inlineStr">
        <x:is>
          <x:t xml:space="preserve">Jylland</x:t>
        </x:is>
      </x:c>
      <x:c r="K7" s="60" t="n">
        <x:f>COUNTIFS(Kampregistrering!$E$10:$E$209,J7,Kampregistrering!$AK$10:$AK$209,1)+IF(J7="Fyn",7,0)</x:f>
        <x:v>8</x:v>
      </x:c>
      <x:c r="L7" s="60" t="n">
        <x:f>COUNTIFS(Kampregistrering!$E$10:$E$209,J7,Kampregistrering!$H$10:$H$209,"Vundet")+IF(J7="Fyn",4,0)</x:f>
        <x:v>6</x:v>
      </x:c>
      <x:c r="M7" s="60" t="n">
        <x:f>IF(K7=0,0,L7/K7)</x:f>
        <x:v>0.75</x:v>
      </x:c>
      <x:c r="N7" s="60" t="n">
        <x:f>SUMIF(Kampregistrering!$E$10:$E$209,J7,Kampregistrering!$U$10:$U$209)+IF(J7="Fyn",55,0)</x:f>
        <x:v>88</x:v>
      </x:c>
      <x:c r="O7" s="60" t="n">
        <x:f>IF(K7=0,0,N7/K7)</x:f>
        <x:v>11</x:v>
      </x:c>
    </x:row>
    <x:row r="8">
      <x:c r="A8" s="85" t="str">
        <x:v>Stævne (automatisk fra kampregistrering)</x:v>
      </x:c>
      <x:c r="B8" s="85" t="inlineStr">
        <x:is>
          <x:t xml:space="preserve">Region</x:t>
        </x:is>
      </x:c>
      <x:c r="C8" s="85" t="inlineStr">
        <x:is>
          <x:t xml:space="preserve">Kampe</x:t>
        </x:is>
      </x:c>
      <x:c r="D8" s="85" t="inlineStr">
        <x:is>
          <x:t xml:space="preserve">Sejre</x:t>
        </x:is>
      </x:c>
      <x:c r="E8" s="85" t="inlineStr">
        <x:is>
          <x:t xml:space="preserve">Nederlag</x:t>
        </x:is>
      </x:c>
      <x:c r="F8" s="85" t="inlineStr">
        <x:is>
          <x:t xml:space="preserve">Sejrsprocent</x:t>
        </x:is>
      </x:c>
      <x:c r="G8" s="85" t="inlineStr">
        <x:is>
          <x:t xml:space="preserve">Netto BD-point</x:t>
        </x:is>
      </x:c>
      <x:c r="H8" s="85" t="inlineStr">
        <x:is>
          <x:t xml:space="preserve">BD-point/kamp</x:t>
        </x:is>
      </x:c>
      <x:c r="I8" s="60" t="n"/>
      <x:c r="J8" s="60" t="inlineStr">
        <x:is>
          <x:t xml:space="preserve">Andet</x:t>
        </x:is>
      </x:c>
      <x:c r="K8" s="60" t="n">
        <x:f>COUNTIFS(Kampregistrering!$E$10:$E$209,J8,Kampregistrering!$AK$10:$AK$209,1)+IF(J8="Fyn",7,0)</x:f>
        <x:v>0</x:v>
      </x:c>
      <x:c r="L8" s="60" t="n">
        <x:f>COUNTIFS(Kampregistrering!$E$10:$E$209,J8,Kampregistrering!$H$10:$H$209,"Vundet")+IF(J8="Fyn",4,0)</x:f>
        <x:v>0</x:v>
      </x:c>
      <x:c r="M8" s="60" t="n">
        <x:f>IF(K8=0,0,L8/K8)</x:f>
        <x:v>0</x:v>
      </x:c>
      <x:c r="N8" s="60" t="n">
        <x:f>SUMIF(Kampregistrering!$E$10:$E$209,J8,Kampregistrering!$U$10:$U$209)+IF(J8="Fyn",55,0)</x:f>
        <x:v>0</x:v>
      </x:c>
      <x:c r="O8" s="60" t="n">
        <x:f>IF(K8=0,0,N8/K8)</x:f>
        <x:v>0</x:v>
      </x:c>
    </x:row>
    <x:row r="9">
      <x:c r="A9" s="60" t="str">
        <x:f>Turneringsoversigt!A5</x:f>
        <x:v>Køge</x:v>
      </x:c>
      <x:c r="B9" s="60" t="str">
        <x:f>Turneringsoversigt!B5</x:f>
        <x:v>Sjælland</x:v>
      </x:c>
      <x:c r="C9" s="60" t="n">
        <x:f>IF(A9="","",COUNTIFS(Kampregistrering!$C$10:$C$209,A9,Kampregistrering!$AK$10:$AK$209,1))</x:f>
        <x:v>2</x:v>
      </x:c>
      <x:c r="D9" s="60" t="n">
        <x:f>IF(A9="","",COUNTIFS(Kampregistrering!$C$10:$C$209,A9,Kampregistrering!$H$10:$H$209,"Vundet"))</x:f>
        <x:v>1</x:v>
      </x:c>
      <x:c r="E9" s="60" t="n">
        <x:f>IF(A9="","",COUNTIFS(Kampregistrering!$C$10:$C$209,A9,Kampregistrering!$H$10:$H$209,"Tabt"))</x:f>
        <x:v>1</x:v>
      </x:c>
      <x:c r="F9" s="60" t="n">
        <x:f>IF(A9="","",D9/MAX(C9,1))</x:f>
        <x:v>0.5</x:v>
      </x:c>
      <x:c r="G9" s="60" t="n">
        <x:f>IF(A9="","",SUMIF(Kampregistrering!$C$10:$C$209,A9,Kampregistrering!$U$10:$U$209))</x:f>
        <x:v>6</x:v>
      </x:c>
      <x:c r="H9" s="60" t="n">
        <x:f>IF(A9="","",G9/MAX(C9,1))</x:f>
        <x:v>3</x:v>
      </x:c>
      <x:c r="I9" s="60" t="n"/>
      <x:c r="J9" s="60" t="n"/>
      <x:c r="K9" s="60" t="n"/>
      <x:c r="L9" s="60" t="n"/>
      <x:c r="M9" s="60" t="n"/>
      <x:c r="N9" s="60" t="n"/>
      <x:c r="O9" s="60" t="n"/>
    </x:row>
    <x:row r="10">
      <x:c r="A10" s="60" t="str">
        <x:f>Turneringsoversigt!A6</x:f>
        <x:v>Victor LBS</x:v>
      </x:c>
      <x:c r="B10" s="60" t="str">
        <x:f>Turneringsoversigt!B6</x:f>
        <x:v>Jylland</x:v>
      </x:c>
      <x:c r="C10" s="60" t="n">
        <x:f>IF(A10="","",COUNTIFS(Kampregistrering!$C$10:$C$209,A10,Kampregistrering!$AK$10:$AK$209,1))</x:f>
        <x:v>8</x:v>
      </x:c>
      <x:c r="D10" s="60" t="n">
        <x:f>IF(A10="","",COUNTIFS(Kampregistrering!$C$10:$C$209,A10,Kampregistrering!$H$10:$H$209,"Vundet"))</x:f>
        <x:v>6</x:v>
      </x:c>
      <x:c r="E10" s="60" t="n">
        <x:f>IF(A10="","",COUNTIFS(Kampregistrering!$C$10:$C$209,A10,Kampregistrering!$H$10:$H$209,"Tabt"))</x:f>
        <x:v>2</x:v>
      </x:c>
      <x:c r="F10" s="60" t="n">
        <x:f>IF(A10="","",D10/MAX(C10,1))</x:f>
        <x:v>0.75</x:v>
      </x:c>
      <x:c r="G10" s="60" t="n">
        <x:f>IF(A10="","",SUMIF(Kampregistrering!$C$10:$C$209,A10,Kampregistrering!$U$10:$U$209))</x:f>
        <x:v>88</x:v>
      </x:c>
      <x:c r="H10" s="60" t="n">
        <x:f>IF(A10="","",G10/MAX(C10,1))</x:f>
        <x:v>11</x:v>
      </x:c>
      <x:c r="I10" s="60" t="n"/>
      <x:c r="J10" s="60" t="n"/>
      <x:c r="K10" s="60" t="n"/>
      <x:c r="L10" s="60" t="n"/>
      <x:c r="M10" s="60" t="n"/>
      <x:c r="N10" s="60" t="n"/>
      <x:c r="O10" s="60" t="n"/>
    </x:row>
    <x:row r="11">
      <x:c r="A11" s="60" t="str">
        <x:f>Turneringsoversigt!A7</x:f>
        <x:v>Slangerup</x:v>
      </x:c>
      <x:c r="B11" s="60" t="str">
        <x:f>Turneringsoversigt!B7</x:f>
        <x:v>Sjælland</x:v>
      </x:c>
      <x:c r="C11" s="60" t="n">
        <x:f>IF(A11="","",COUNTIFS(Kampregistrering!$C$10:$C$209,A11,Kampregistrering!$AK$10:$AK$209,1))</x:f>
        <x:v>9</x:v>
      </x:c>
      <x:c r="D11" s="60" t="n">
        <x:f>IF(A11="","",COUNTIFS(Kampregistrering!$C$10:$C$209,A11,Kampregistrering!$H$10:$H$209,"Vundet"))</x:f>
        <x:v>8</x:v>
      </x:c>
      <x:c r="E11" s="60" t="n">
        <x:f>IF(A11="","",COUNTIFS(Kampregistrering!$C$10:$C$209,A11,Kampregistrering!$H$10:$H$209,"Tabt"))</x:f>
        <x:v>1</x:v>
      </x:c>
      <x:c r="F11" s="60" t="n">
        <x:f>IF(A11="","",D11/MAX(C11,1))</x:f>
        <x:v>0.8888888888888888</x:v>
      </x:c>
      <x:c r="G11" s="60" t="n">
        <x:f>IF(A11="","",SUMIF(Kampregistrering!$C$10:$C$209,A11,Kampregistrering!$U$10:$U$209))</x:f>
        <x:v>101</x:v>
      </x:c>
      <x:c r="H11" s="60" t="n">
        <x:f>IF(A11="","",G11/MAX(C11,1))</x:f>
        <x:v>11.222222222222221</x:v>
      </x:c>
      <x:c r="I11" s="60" t="n"/>
      <x:c r="J11" s="60" t="n"/>
      <x:c r="K11" s="60" t="n"/>
      <x:c r="L11" s="60" t="n"/>
      <x:c r="M11" s="60" t="n"/>
      <x:c r="N11" s="60" t="n"/>
      <x:c r="O11" s="60" t="n"/>
    </x:row>
    <x:row r="12">
      <x:c r="A12" s="60" t="str">
        <x:f>Turneringsoversigt!A8</x:f>
        <x:v>Herlev/Hjorten</x:v>
      </x:c>
      <x:c r="B12" s="60" t="str">
        <x:f>Turneringsoversigt!B8</x:f>
        <x:v>Sjælland</x:v>
      </x:c>
      <x:c r="C12" s="60" t="n">
        <x:f>IF(A12="","",COUNTIFS(Kampregistrering!$C$10:$C$209,A12,Kampregistrering!$AK$10:$AK$209,1))</x:f>
        <x:v>0</x:v>
      </x:c>
      <x:c r="D12" s="60" t="n">
        <x:f>IF(A12="","",COUNTIFS(Kampregistrering!$C$10:$C$209,A12,Kampregistrering!$H$10:$H$209,"Vundet"))</x:f>
        <x:v>0</x:v>
      </x:c>
      <x:c r="E12" s="60" t="n">
        <x:f>IF(A12="","",COUNTIFS(Kampregistrering!$C$10:$C$209,A12,Kampregistrering!$H$10:$H$209,"Tabt"))</x:f>
        <x:v>0</x:v>
      </x:c>
      <x:c r="F12" s="60" t="n">
        <x:f>IF(A12="","",D12/MAX(C12,1))</x:f>
        <x:v>0</x:v>
      </x:c>
      <x:c r="G12" s="60" t="n">
        <x:f>IF(A12="","",SUMIF(Kampregistrering!$C$10:$C$209,A12,Kampregistrering!$U$10:$U$209))</x:f>
        <x:v>0</x:v>
      </x:c>
      <x:c r="H12" s="60" t="n">
        <x:f>IF(A12="","",G12/MAX(C12,1))</x:f>
        <x:v>0</x:v>
      </x:c>
      <x:c r="I12" s="60" t="n"/>
      <x:c r="J12" s="60" t="n"/>
      <x:c r="K12" s="60" t="n"/>
      <x:c r="L12" s="60" t="n"/>
      <x:c r="M12" s="60" t="n"/>
      <x:c r="N12" s="60" t="n"/>
      <x:c r="O12" s="60" t="n"/>
    </x:row>
    <x:row r="13">
      <x:c r="A13" s="60" t="str">
        <x:f>Turneringsoversigt!A9</x:f>
      </x:c>
      <x:c r="B13" s="60" t="str">
        <x:f>Turneringsoversigt!B9</x:f>
      </x:c>
      <x:c r="C13" s="60" t="str">
        <x:f>IF(A13="","",COUNTIFS(Kampregistrering!$C$10:$C$209,A13,Kampregistrering!$AK$10:$AK$209,1))</x:f>
      </x:c>
      <x:c r="D13" s="60" t="str">
        <x:f>IF(A13="","",COUNTIFS(Kampregistrering!$C$10:$C$209,A13,Kampregistrering!$H$10:$H$209,"Vundet"))</x:f>
      </x:c>
      <x:c r="E13" s="60" t="str">
        <x:f>IF(A13="","",COUNTIFS(Kampregistrering!$C$10:$C$209,A13,Kampregistrering!$H$10:$H$209,"Tabt"))</x:f>
      </x:c>
      <x:c r="F13" s="60" t="str">
        <x:f>IF(A13="","",D13/MAX(C13,1))</x:f>
      </x:c>
      <x:c r="G13" s="60" t="str">
        <x:f>IF(A13="","",SUMIF(Kampregistrering!$C$10:$C$209,A13,Kampregistrering!$U$10:$U$209))</x:f>
      </x:c>
      <x:c r="H13" s="60" t="str">
        <x:f>IF(A13="","",G13/MAX(C13,1))</x:f>
      </x:c>
      <x:c r="I13" s="60" t="n"/>
      <x:c r="J13" s="60" t="n"/>
      <x:c r="K13" s="60" t="n"/>
      <x:c r="L13" s="60" t="n"/>
      <x:c r="M13" s="60" t="n"/>
      <x:c r="N13" s="60" t="n"/>
      <x:c r="O13" s="60" t="n"/>
    </x:row>
    <x:row r="14">
      <x:c r="A14" s="60" t="str">
        <x:f>Turneringsoversigt!A10</x:f>
      </x:c>
      <x:c r="B14" s="60" t="str">
        <x:f>Turneringsoversigt!B10</x:f>
      </x:c>
      <x:c r="C14" s="60" t="str">
        <x:f>IF(A14="","",COUNTIFS(Kampregistrering!$C$10:$C$209,A14,Kampregistrering!$AK$10:$AK$209,1))</x:f>
      </x:c>
      <x:c r="D14" s="60" t="str">
        <x:f>IF(A14="","",COUNTIFS(Kampregistrering!$C$10:$C$209,A14,Kampregistrering!$H$10:$H$209,"Vundet"))</x:f>
      </x:c>
      <x:c r="E14" s="60" t="str">
        <x:f>IF(A14="","",COUNTIFS(Kampregistrering!$C$10:$C$209,A14,Kampregistrering!$H$10:$H$209,"Tabt"))</x:f>
      </x:c>
      <x:c r="F14" s="60" t="str">
        <x:f>IF(A14="","",D14/MAX(C14,1))</x:f>
      </x:c>
      <x:c r="G14" s="60" t="str">
        <x:f>IF(A14="","",SUMIF(Kampregistrering!$C$10:$C$209,A14,Kampregistrering!$U$10:$U$209))</x:f>
      </x:c>
      <x:c r="H14" s="60" t="str">
        <x:f>IF(A14="","",G14/MAX(C14,1))</x:f>
      </x:c>
      <x:c r="I14" s="60" t="n"/>
      <x:c r="J14" s="60" t="n"/>
      <x:c r="K14" s="60" t="n"/>
      <x:c r="L14" s="60" t="n"/>
      <x:c r="M14" s="60" t="n"/>
      <x:c r="N14" s="60" t="n"/>
      <x:c r="O14" s="60" t="n"/>
    </x:row>
    <x:row r="15">
      <x:c r="A15" s="60" t="str">
        <x:f>Turneringsoversigt!A11</x:f>
      </x:c>
      <x:c r="B15" s="60" t="str">
        <x:f>Turneringsoversigt!B11</x:f>
      </x:c>
      <x:c r="C15" s="60" t="str">
        <x:f>IF(A15="","",COUNTIFS(Kampregistrering!$C$10:$C$209,A15,Kampregistrering!$AK$10:$AK$209,1))</x:f>
      </x:c>
      <x:c r="D15" s="60" t="str">
        <x:f>IF(A15="","",COUNTIFS(Kampregistrering!$C$10:$C$209,A15,Kampregistrering!$H$10:$H$209,"Vundet"))</x:f>
      </x:c>
      <x:c r="E15" s="60" t="str">
        <x:f>IF(A15="","",COUNTIFS(Kampregistrering!$C$10:$C$209,A15,Kampregistrering!$H$10:$H$209,"Tabt"))</x:f>
      </x:c>
      <x:c r="F15" s="60" t="str">
        <x:f>IF(A15="","",D15/MAX(C15,1))</x:f>
      </x:c>
      <x:c r="G15" s="60" t="str">
        <x:f>IF(A15="","",SUMIF(Kampregistrering!$C$10:$C$209,A15,Kampregistrering!$U$10:$U$209))</x:f>
      </x:c>
      <x:c r="H15" s="60" t="str">
        <x:f>IF(A15="","",G15/MAX(C15,1))</x:f>
      </x:c>
      <x:c r="I15" s="60" t="n"/>
      <x:c r="J15" s="60" t="n"/>
      <x:c r="K15" s="60" t="n"/>
      <x:c r="L15" s="60" t="n"/>
      <x:c r="M15" s="60" t="n"/>
      <x:c r="N15" s="60" t="n"/>
      <x:c r="O15" s="60" t="n"/>
    </x:row>
    <x:row r="16">
      <x:c r="A16" s="60" t="str">
        <x:f>Turneringsoversigt!A12</x:f>
      </x:c>
      <x:c r="B16" s="60" t="str">
        <x:f>Turneringsoversigt!B12</x:f>
      </x:c>
      <x:c r="C16" s="60" t="str">
        <x:f>IF(A16="","",COUNTIFS(Kampregistrering!$C$10:$C$209,A16,Kampregistrering!$AK$10:$AK$209,1))</x:f>
      </x:c>
      <x:c r="D16" s="60" t="str">
        <x:f>IF(A16="","",COUNTIFS(Kampregistrering!$C$10:$C$209,A16,Kampregistrering!$H$10:$H$209,"Vundet"))</x:f>
      </x:c>
      <x:c r="E16" s="60" t="str">
        <x:f>IF(A16="","",COUNTIFS(Kampregistrering!$C$10:$C$209,A16,Kampregistrering!$H$10:$H$209,"Tabt"))</x:f>
      </x:c>
      <x:c r="F16" s="60" t="str">
        <x:f>IF(A16="","",D16/MAX(C16,1))</x:f>
      </x:c>
      <x:c r="G16" s="60" t="str">
        <x:f>IF(A16="","",SUMIF(Kampregistrering!$C$10:$C$209,A16,Kampregistrering!$U$10:$U$209))</x:f>
      </x:c>
      <x:c r="H16" s="60" t="str">
        <x:f>IF(A16="","",G16/MAX(C16,1))</x:f>
      </x:c>
      <x:c r="I16" s="60" t="n"/>
      <x:c r="J16" s="60" t="n"/>
      <x:c r="K16" s="60" t="n"/>
      <x:c r="L16" s="60" t="n"/>
      <x:c r="M16" s="60" t="n"/>
      <x:c r="N16" s="60" t="n"/>
      <x:c r="O16" s="60" t="n"/>
    </x:row>
    <x:row r="17">
      <x:c r="A17" s="60" t="str">
        <x:f>Turneringsoversigt!A13</x:f>
      </x:c>
      <x:c r="B17" s="60" t="str">
        <x:f>Turneringsoversigt!B13</x:f>
      </x:c>
      <x:c r="C17" s="60" t="str">
        <x:f>IF(A17="","",COUNTIFS(Kampregistrering!$C$10:$C$209,A17,Kampregistrering!$AK$10:$AK$209,1))</x:f>
      </x:c>
      <x:c r="D17" s="60" t="str">
        <x:f>IF(A17="","",COUNTIFS(Kampregistrering!$C$10:$C$209,A17,Kampregistrering!$H$10:$H$209,"Vundet"))</x:f>
      </x:c>
      <x:c r="E17" s="60" t="str">
        <x:f>IF(A17="","",COUNTIFS(Kampregistrering!$C$10:$C$209,A17,Kampregistrering!$H$10:$H$209,"Tabt"))</x:f>
      </x:c>
      <x:c r="F17" s="60" t="str">
        <x:f>IF(A17="","",D17/MAX(C17,1))</x:f>
      </x:c>
      <x:c r="G17" s="60" t="str">
        <x:f>IF(A17="","",SUMIF(Kampregistrering!$C$10:$C$209,A17,Kampregistrering!$U$10:$U$209))</x:f>
      </x:c>
      <x:c r="H17" s="60" t="str">
        <x:f>IF(A17="","",G17/MAX(C17,1))</x:f>
      </x:c>
      <x:c r="I17" s="60" t="n"/>
      <x:c r="J17" s="60" t="n"/>
      <x:c r="K17" s="60" t="n"/>
      <x:c r="L17" s="60" t="n"/>
      <x:c r="M17" s="60" t="n"/>
      <x:c r="N17" s="60" t="n"/>
      <x:c r="O17" s="60" t="n"/>
    </x:row>
    <x:row r="18">
      <x:c r="A18" s="60" t="str">
        <x:f>Turneringsoversigt!A14</x:f>
      </x:c>
      <x:c r="B18" s="60" t="str">
        <x:f>Turneringsoversigt!B14</x:f>
      </x:c>
      <x:c r="C18" s="60" t="str">
        <x:f>IF(A18="","",COUNTIFS(Kampregistrering!$C$10:$C$209,A18,Kampregistrering!$AK$10:$AK$209,1))</x:f>
      </x:c>
      <x:c r="D18" s="60" t="str">
        <x:f>IF(A18="","",COUNTIFS(Kampregistrering!$C$10:$C$209,A18,Kampregistrering!$H$10:$H$209,"Vundet"))</x:f>
      </x:c>
      <x:c r="E18" s="60" t="str">
        <x:f>IF(A18="","",COUNTIFS(Kampregistrering!$C$10:$C$209,A18,Kampregistrering!$H$10:$H$209,"Tabt"))</x:f>
      </x:c>
      <x:c r="F18" s="60" t="str">
        <x:f>IF(A18="","",D18/MAX(C18,1))</x:f>
      </x:c>
      <x:c r="G18" s="60" t="str">
        <x:f>IF(A18="","",SUMIF(Kampregistrering!$C$10:$C$209,A18,Kampregistrering!$U$10:$U$209))</x:f>
      </x:c>
      <x:c r="H18" s="60" t="str">
        <x:f>IF(A18="","",G18/MAX(C18,1))</x:f>
      </x:c>
      <x:c r="I18" s="60" t="n"/>
      <x:c r="J18" s="60" t="n"/>
      <x:c r="K18" s="60" t="n"/>
      <x:c r="L18" s="60" t="n"/>
      <x:c r="M18" s="60" t="n"/>
      <x:c r="N18" s="60" t="n"/>
      <x:c r="O18" s="60" t="n"/>
    </x:row>
    <x:row r="19">
      <x:c r="A19" s="60" t="str">
        <x:f>Turneringsoversigt!A15</x:f>
      </x:c>
      <x:c r="B19" s="60" t="str">
        <x:f>Turneringsoversigt!B15</x:f>
      </x:c>
      <x:c r="C19" s="60" t="str">
        <x:f>IF(A19="","",COUNTIFS(Kampregistrering!$C$10:$C$209,A19,Kampregistrering!$AK$10:$AK$209,1))</x:f>
      </x:c>
      <x:c r="D19" s="60" t="str">
        <x:f>IF(A19="","",COUNTIFS(Kampregistrering!$C$10:$C$209,A19,Kampregistrering!$H$10:$H$209,"Vundet"))</x:f>
      </x:c>
      <x:c r="E19" s="60" t="str">
        <x:f>IF(A19="","",COUNTIFS(Kampregistrering!$C$10:$C$209,A19,Kampregistrering!$H$10:$H$209,"Tabt"))</x:f>
      </x:c>
      <x:c r="F19" s="60" t="str">
        <x:f>IF(A19="","",D19/MAX(C19,1))</x:f>
      </x:c>
      <x:c r="G19" s="60" t="str">
        <x:f>IF(A19="","",SUMIF(Kampregistrering!$C$10:$C$209,A19,Kampregistrering!$U$10:$U$209))</x:f>
      </x:c>
      <x:c r="H19" s="60" t="str">
        <x:f>IF(A19="","",G19/MAX(C19,1))</x:f>
      </x:c>
      <x:c r="I19" s="60" t="n"/>
      <x:c r="J19" s="60" t="n"/>
      <x:c r="K19" s="60" t="n"/>
      <x:c r="L19" s="60" t="n"/>
      <x:c r="M19" s="60" t="n"/>
      <x:c r="N19" s="60" t="n"/>
      <x:c r="O19" s="60" t="n"/>
    </x:row>
    <x:row r="20">
      <x:c r="A20" s="60" t="str">
        <x:f>Turneringsoversigt!A16</x:f>
      </x:c>
      <x:c r="B20" s="60" t="str">
        <x:f>Turneringsoversigt!B16</x:f>
      </x:c>
      <x:c r="C20" s="60" t="str">
        <x:f>IF(A20="","",COUNTIFS(Kampregistrering!$C$10:$C$209,A20,Kampregistrering!$AK$10:$AK$209,1))</x:f>
      </x:c>
      <x:c r="D20" s="60" t="str">
        <x:f>IF(A20="","",COUNTIFS(Kampregistrering!$C$10:$C$209,A20,Kampregistrering!$H$10:$H$209,"Vundet"))</x:f>
      </x:c>
      <x:c r="E20" s="60" t="str">
        <x:f>IF(A20="","",COUNTIFS(Kampregistrering!$C$10:$C$209,A20,Kampregistrering!$H$10:$H$209,"Tabt"))</x:f>
      </x:c>
      <x:c r="F20" s="60" t="str">
        <x:f>IF(A20="","",D20/MAX(C20,1))</x:f>
      </x:c>
      <x:c r="G20" s="60" t="str">
        <x:f>IF(A20="","",SUMIF(Kampregistrering!$C$10:$C$209,A20,Kampregistrering!$U$10:$U$209))</x:f>
      </x:c>
      <x:c r="H20" s="60" t="str">
        <x:f>IF(A20="","",G20/MAX(C20,1))</x:f>
      </x:c>
      <x:c r="I20" s="60" t="n"/>
      <x:c r="J20" s="60" t="n"/>
      <x:c r="K20" s="60" t="n"/>
      <x:c r="L20" s="60" t="n"/>
      <x:c r="M20" s="60" t="n"/>
      <x:c r="N20" s="60" t="n"/>
      <x:c r="O20" s="60" t="n"/>
    </x:row>
    <x:row r="21">
      <x:c r="A21" s="60" t="str">
        <x:f>Turneringsoversigt!A17</x:f>
      </x:c>
      <x:c r="B21" s="60" t="str">
        <x:f>Turneringsoversigt!B17</x:f>
      </x:c>
      <x:c r="C21" s="60" t="str">
        <x:f>IF(A21="","",COUNTIFS(Kampregistrering!$C$10:$C$209,A21,Kampregistrering!$AK$10:$AK$209,1))</x:f>
      </x:c>
      <x:c r="D21" s="60" t="str">
        <x:f>IF(A21="","",COUNTIFS(Kampregistrering!$C$10:$C$209,A21,Kampregistrering!$H$10:$H$209,"Vundet"))</x:f>
      </x:c>
      <x:c r="E21" s="60" t="str">
        <x:f>IF(A21="","",COUNTIFS(Kampregistrering!$C$10:$C$209,A21,Kampregistrering!$H$10:$H$209,"Tabt"))</x:f>
      </x:c>
      <x:c r="F21" s="60" t="str">
        <x:f>IF(A21="","",D21/MAX(C21,1))</x:f>
      </x:c>
      <x:c r="G21" s="60" t="str">
        <x:f>IF(A21="","",SUMIF(Kampregistrering!$C$10:$C$209,A21,Kampregistrering!$U$10:$U$209))</x:f>
      </x:c>
      <x:c r="H21" s="60" t="str">
        <x:f>IF(A21="","",G21/MAX(C21,1))</x:f>
      </x:c>
      <x:c r="I21" s="60" t="n"/>
      <x:c r="J21" s="60" t="n"/>
      <x:c r="K21" s="60" t="n"/>
      <x:c r="L21" s="60" t="n"/>
      <x:c r="M21" s="60" t="n"/>
      <x:c r="N21" s="60" t="n"/>
      <x:c r="O21" s="60" t="n"/>
    </x:row>
    <x:row r="22">
      <x:c r="A22" s="60" t="str">
        <x:f>Turneringsoversigt!A18</x:f>
      </x:c>
      <x:c r="B22" s="60" t="str">
        <x:f>Turneringsoversigt!B18</x:f>
      </x:c>
      <x:c r="C22" s="60" t="str">
        <x:f>IF(A22="","",COUNTIFS(Kampregistrering!$C$10:$C$209,A22,Kampregistrering!$AK$10:$AK$209,1))</x:f>
      </x:c>
      <x:c r="D22" s="60" t="str">
        <x:f>IF(A22="","",COUNTIFS(Kampregistrering!$C$10:$C$209,A22,Kampregistrering!$H$10:$H$209,"Vundet"))</x:f>
      </x:c>
      <x:c r="E22" s="60" t="str">
        <x:f>IF(A22="","",COUNTIFS(Kampregistrering!$C$10:$C$209,A22,Kampregistrering!$H$10:$H$209,"Tabt"))</x:f>
      </x:c>
      <x:c r="F22" s="60" t="str">
        <x:f>IF(A22="","",D22/MAX(C22,1))</x:f>
      </x:c>
      <x:c r="G22" s="60" t="str">
        <x:f>IF(A22="","",SUMIF(Kampregistrering!$C$10:$C$209,A22,Kampregistrering!$U$10:$U$209))</x:f>
      </x:c>
      <x:c r="H22" s="60" t="str">
        <x:f>IF(A22="","",G22/MAX(C22,1))</x:f>
      </x:c>
      <x:c r="I22" s="60" t="n"/>
      <x:c r="J22" s="60" t="n"/>
      <x:c r="K22" s="60" t="n"/>
      <x:c r="L22" s="60" t="n"/>
      <x:c r="M22" s="60" t="n"/>
      <x:c r="N22" s="60" t="n"/>
      <x:c r="O22" s="60" t="n"/>
    </x:row>
    <x:row r="23">
      <x:c r="A23" s="60" t="str">
        <x:f>Turneringsoversigt!A19</x:f>
      </x:c>
      <x:c r="B23" s="60" t="str">
        <x:f>Turneringsoversigt!B19</x:f>
      </x:c>
      <x:c r="C23" s="60" t="str">
        <x:f>IF(A23="","",COUNTIFS(Kampregistrering!$C$10:$C$209,A23,Kampregistrering!$AK$10:$AK$209,1))</x:f>
      </x:c>
      <x:c r="D23" s="60" t="str">
        <x:f>IF(A23="","",COUNTIFS(Kampregistrering!$C$10:$C$209,A23,Kampregistrering!$H$10:$H$209,"Vundet"))</x:f>
      </x:c>
      <x:c r="E23" s="60" t="str">
        <x:f>IF(A23="","",COUNTIFS(Kampregistrering!$C$10:$C$209,A23,Kampregistrering!$H$10:$H$209,"Tabt"))</x:f>
      </x:c>
      <x:c r="F23" s="60" t="str">
        <x:f>IF(A23="","",D23/MAX(C23,1))</x:f>
      </x:c>
      <x:c r="G23" s="60" t="str">
        <x:f>IF(A23="","",SUMIF(Kampregistrering!$C$10:$C$209,A23,Kampregistrering!$U$10:$U$209))</x:f>
      </x:c>
      <x:c r="H23" s="60" t="str">
        <x:f>IF(A23="","",G23/MAX(C23,1))</x:f>
      </x:c>
      <x:c r="I23" s="60" t="n"/>
      <x:c r="J23" s="60" t="n"/>
      <x:c r="K23" s="60" t="n"/>
      <x:c r="L23" s="60" t="n"/>
      <x:c r="M23" s="60" t="n"/>
      <x:c r="N23" s="60" t="n"/>
      <x:c r="O23" s="60" t="n"/>
    </x:row>
    <x:row r="24">
      <x:c r="A24" s="60" t="str">
        <x:f>Turneringsoversigt!A20</x:f>
      </x:c>
      <x:c r="B24" s="60" t="str">
        <x:f>Turneringsoversigt!B20</x:f>
      </x:c>
      <x:c r="C24" s="60" t="str">
        <x:f>IF(A24="","",COUNTIFS(Kampregistrering!$C$10:$C$209,A24,Kampregistrering!$AK$10:$AK$209,1))</x:f>
      </x:c>
      <x:c r="D24" s="60" t="str">
        <x:f>IF(A24="","",COUNTIFS(Kampregistrering!$C$10:$C$209,A24,Kampregistrering!$H$10:$H$209,"Vundet"))</x:f>
      </x:c>
      <x:c r="E24" s="60" t="str">
        <x:f>IF(A24="","",COUNTIFS(Kampregistrering!$C$10:$C$209,A24,Kampregistrering!$H$10:$H$209,"Tabt"))</x:f>
      </x:c>
      <x:c r="F24" s="60" t="str">
        <x:f>IF(A24="","",D24/MAX(C24,1))</x:f>
      </x:c>
      <x:c r="G24" s="60" t="str">
        <x:f>IF(A24="","",SUMIF(Kampregistrering!$C$10:$C$209,A24,Kampregistrering!$U$10:$U$209))</x:f>
      </x:c>
      <x:c r="H24" s="60" t="str">
        <x:f>IF(A24="","",G24/MAX(C24,1))</x:f>
      </x:c>
      <x:c r="I24" s="60" t="n"/>
      <x:c r="J24" s="60" t="n"/>
      <x:c r="K24" s="60" t="n"/>
      <x:c r="L24" s="60" t="n"/>
      <x:c r="M24" s="60" t="n"/>
      <x:c r="N24" s="60" t="n"/>
      <x:c r="O24" s="60" t="n"/>
    </x:row>
    <x:row r="25">
      <x:c r="A25" s="60" t="str">
        <x:f>Turneringsoversigt!A21</x:f>
      </x:c>
      <x:c r="B25" s="60" t="str">
        <x:f>Turneringsoversigt!B21</x:f>
      </x:c>
      <x:c r="C25" s="60" t="str">
        <x:f>IF(A25="","",COUNTIFS(Kampregistrering!$C$10:$C$209,A25,Kampregistrering!$AK$10:$AK$209,1))</x:f>
      </x:c>
      <x:c r="D25" s="60" t="str">
        <x:f>IF(A25="","",COUNTIFS(Kampregistrering!$C$10:$C$209,A25,Kampregistrering!$H$10:$H$209,"Vundet"))</x:f>
      </x:c>
      <x:c r="E25" s="60" t="str">
        <x:f>IF(A25="","",COUNTIFS(Kampregistrering!$C$10:$C$209,A25,Kampregistrering!$H$10:$H$209,"Tabt"))</x:f>
      </x:c>
      <x:c r="F25" s="60" t="str">
        <x:f>IF(A25="","",D25/MAX(C25,1))</x:f>
      </x:c>
      <x:c r="G25" s="60" t="str">
        <x:f>IF(A25="","",SUMIF(Kampregistrering!$C$10:$C$209,A25,Kampregistrering!$U$10:$U$209))</x:f>
      </x:c>
      <x:c r="H25" s="60" t="str">
        <x:f>IF(A25="","",G25/MAX(C25,1))</x:f>
      </x:c>
      <x:c r="I25" s="60" t="n"/>
      <x:c r="J25" s="60" t="n"/>
      <x:c r="K25" s="60" t="n"/>
      <x:c r="L25" s="60" t="n"/>
      <x:c r="M25" s="60" t="n"/>
      <x:c r="N25" s="60" t="n"/>
      <x:c r="O25" s="60" t="n"/>
    </x:row>
    <x:row r="26">
      <x:c r="A26" s="60" t="str">
        <x:f>Turneringsoversigt!A22</x:f>
      </x:c>
      <x:c r="B26" s="60" t="str">
        <x:f>Turneringsoversigt!B22</x:f>
      </x:c>
      <x:c r="C26" s="60" t="str">
        <x:f>IF(A26="","",COUNTIFS(Kampregistrering!$C$10:$C$209,A26,Kampregistrering!$AK$10:$AK$209,1))</x:f>
      </x:c>
      <x:c r="D26" s="60" t="str">
        <x:f>IF(A26="","",COUNTIFS(Kampregistrering!$C$10:$C$209,A26,Kampregistrering!$H$10:$H$209,"Vundet"))</x:f>
      </x:c>
      <x:c r="E26" s="60" t="str">
        <x:f>IF(A26="","",COUNTIFS(Kampregistrering!$C$10:$C$209,A26,Kampregistrering!$H$10:$H$209,"Tabt"))</x:f>
      </x:c>
      <x:c r="F26" s="60" t="str">
        <x:f>IF(A26="","",D26/MAX(C26,1))</x:f>
      </x:c>
      <x:c r="G26" s="60" t="str">
        <x:f>IF(A26="","",SUMIF(Kampregistrering!$C$10:$C$209,A26,Kampregistrering!$U$10:$U$209))</x:f>
      </x:c>
      <x:c r="H26" s="60" t="str">
        <x:f>IF(A26="","",G26/MAX(C26,1))</x:f>
      </x:c>
      <x:c r="I26" s="60" t="n"/>
      <x:c r="J26" s="60" t="n"/>
      <x:c r="K26" s="60" t="n"/>
      <x:c r="L26" s="60" t="n"/>
      <x:c r="M26" s="60" t="n"/>
      <x:c r="N26" s="60" t="n"/>
      <x:c r="O26" s="60" t="n"/>
    </x:row>
    <x:row r="27">
      <x:c r="A27" s="60" t="str">
        <x:f>Turneringsoversigt!A23</x:f>
      </x:c>
      <x:c r="B27" s="60" t="str">
        <x:f>Turneringsoversigt!B23</x:f>
      </x:c>
      <x:c r="C27" s="60" t="str">
        <x:f>IF(A27="","",COUNTIFS(Kampregistrering!$C$10:$C$209,A27,Kampregistrering!$AK$10:$AK$209,1))</x:f>
      </x:c>
      <x:c r="D27" s="60" t="str">
        <x:f>IF(A27="","",COUNTIFS(Kampregistrering!$C$10:$C$209,A27,Kampregistrering!$H$10:$H$209,"Vundet"))</x:f>
      </x:c>
      <x:c r="E27" s="60" t="str">
        <x:f>IF(A27="","",COUNTIFS(Kampregistrering!$C$10:$C$209,A27,Kampregistrering!$H$10:$H$209,"Tabt"))</x:f>
      </x:c>
      <x:c r="F27" s="60" t="str">
        <x:f>IF(A27="","",D27/MAX(C27,1))</x:f>
      </x:c>
      <x:c r="G27" s="60" t="str">
        <x:f>IF(A27="","",SUMIF(Kampregistrering!$C$10:$C$209,A27,Kampregistrering!$U$10:$U$209))</x:f>
      </x:c>
      <x:c r="H27" s="60" t="str">
        <x:f>IF(A27="","",G27/MAX(C27,1))</x:f>
      </x:c>
      <x:c r="I27" s="60" t="n"/>
      <x:c r="J27" s="60" t="n"/>
      <x:c r="K27" s="60" t="n"/>
      <x:c r="L27" s="60" t="n"/>
      <x:c r="M27" s="60" t="n"/>
      <x:c r="N27" s="60" t="n"/>
      <x:c r="O27" s="60" t="n"/>
    </x:row>
    <x:row r="28">
      <x:c r="A28" s="60" t="str">
        <x:f>Turneringsoversigt!A24</x:f>
      </x:c>
      <x:c r="B28" s="60" t="str">
        <x:f>Turneringsoversigt!B24</x:f>
      </x:c>
      <x:c r="C28" s="60" t="str">
        <x:f>IF(A28="","",COUNTIFS(Kampregistrering!$C$10:$C$209,A28,Kampregistrering!$AK$10:$AK$209,1))</x:f>
      </x:c>
      <x:c r="D28" s="60" t="str">
        <x:f>IF(A28="","",COUNTIFS(Kampregistrering!$C$10:$C$209,A28,Kampregistrering!$H$10:$H$209,"Vundet"))</x:f>
      </x:c>
      <x:c r="E28" s="60" t="str">
        <x:f>IF(A28="","",COUNTIFS(Kampregistrering!$C$10:$C$209,A28,Kampregistrering!$H$10:$H$209,"Tabt"))</x:f>
      </x:c>
      <x:c r="F28" s="60" t="str">
        <x:f>IF(A28="","",D28/MAX(C28,1))</x:f>
      </x:c>
      <x:c r="G28" s="60" t="str">
        <x:f>IF(A28="","",SUMIF(Kampregistrering!$C$10:$C$209,A28,Kampregistrering!$U$10:$U$209))</x:f>
      </x:c>
      <x:c r="H28" s="60" t="str">
        <x:f>IF(A28="","",G28/MAX(C28,1))</x:f>
      </x:c>
      <x:c r="I28" s="60" t="n"/>
      <x:c r="J28" s="60" t="n"/>
      <x:c r="K28" s="60" t="n"/>
      <x:c r="L28" s="60" t="n"/>
      <x:c r="M28" s="60" t="n"/>
      <x:c r="N28" s="60" t="n"/>
      <x:c r="O28" s="60" t="n"/>
    </x:row>
    <x:row r="29">
      <x:c r="A29" s="60" t="n"/>
      <x:c r="B29" s="60" t="n"/>
      <x:c r="C29" s="60" t="n"/>
      <x:c r="D29" s="60" t="n"/>
      <x:c r="E29" s="60" t="n"/>
      <x:c r="F29" s="60" t="n"/>
      <x:c r="G29" s="60" t="n"/>
      <x:c r="H29" s="60" t="n"/>
      <x:c r="I29" s="60" t="n"/>
      <x:c r="J29" s="60" t="n"/>
      <x:c r="K29" s="60" t="n"/>
      <x:c r="L29" s="60" t="n"/>
      <x:c r="M29" s="60" t="n"/>
      <x:c r="N29" s="60" t="n"/>
      <x:c r="O29" s="60" t="n"/>
    </x:row>
    <x:row r="30">
      <x:c r="A30" s="60" t="n"/>
      <x:c r="B30" s="60" t="n"/>
      <x:c r="C30" s="60" t="n"/>
      <x:c r="D30" s="60" t="n"/>
      <x:c r="E30" s="60" t="n"/>
      <x:c r="F30" s="60" t="n"/>
      <x:c r="G30" s="60" t="n"/>
      <x:c r="H30" s="60" t="n"/>
      <x:c r="I30" s="60" t="n"/>
      <x:c r="J30" s="60" t="n"/>
      <x:c r="K30" s="60" t="n"/>
      <x:c r="L30" s="60" t="n"/>
      <x:c r="M30" s="60" t="n"/>
      <x:c r="N30" s="60" t="n"/>
      <x:c r="O30" s="60" t="n"/>
    </x:row>
    <x:row r="31">
      <x:c r="A31" s="60" t="n"/>
      <x:c r="B31" s="60" t="n"/>
      <x:c r="C31" s="60" t="n"/>
      <x:c r="D31" s="60" t="n"/>
      <x:c r="E31" s="60" t="n"/>
      <x:c r="F31" s="60" t="n"/>
      <x:c r="G31" s="60" t="n"/>
      <x:c r="H31" s="60" t="n"/>
      <x:c r="I31" s="60" t="n"/>
      <x:c r="J31" s="60" t="n"/>
      <x:c r="K31" s="60" t="n"/>
      <x:c r="L31" s="60" t="n"/>
      <x:c r="M31" s="60" t="n"/>
      <x:c r="N31" s="60" t="n"/>
      <x:c r="O31" s="60" t="n"/>
    </x:row>
    <x:row r="32">
      <x:c r="A32" s="60" t="n"/>
      <x:c r="B32" s="60" t="n"/>
      <x:c r="C32" s="60" t="n"/>
      <x:c r="D32" s="60" t="n"/>
      <x:c r="E32" s="60" t="n"/>
      <x:c r="F32" s="60" t="n"/>
      <x:c r="G32" s="60" t="n"/>
      <x:c r="H32" s="60" t="n"/>
      <x:c r="I32" s="60" t="n"/>
      <x:c r="J32" s="60" t="n"/>
      <x:c r="K32" s="60" t="n"/>
      <x:c r="L32" s="60" t="n"/>
      <x:c r="M32" s="60" t="n"/>
      <x:c r="N32" s="60" t="n"/>
      <x:c r="O32" s="60" t="n"/>
    </x:row>
    <x:row r="33">
      <x:c r="A33" s="60" t="n"/>
      <x:c r="B33" s="60" t="n"/>
      <x:c r="C33" s="60" t="n"/>
      <x:c r="D33" s="60" t="n"/>
      <x:c r="E33" s="60" t="n"/>
      <x:c r="F33" s="60" t="n"/>
      <x:c r="G33" s="60" t="n"/>
      <x:c r="H33" s="60" t="n"/>
      <x:c r="I33" s="60" t="n"/>
      <x:c r="J33" s="60" t="n"/>
      <x:c r="K33" s="60" t="n"/>
      <x:c r="L33" s="60" t="n"/>
      <x:c r="M33" s="60" t="n"/>
      <x:c r="N33" s="60" t="n"/>
      <x:c r="O33" s="60" t="n"/>
    </x:row>
    <x:row r="34">
      <x:c r="A34" s="60" t="n"/>
      <x:c r="B34" s="60" t="n"/>
      <x:c r="C34" s="60" t="n"/>
      <x:c r="D34" s="60" t="n"/>
      <x:c r="E34" s="60" t="n"/>
      <x:c r="F34" s="60" t="n"/>
      <x:c r="G34" s="60" t="n"/>
      <x:c r="H34" s="60" t="n"/>
      <x:c r="I34" s="60" t="n"/>
      <x:c r="J34" s="60" t="n"/>
      <x:c r="K34" s="60" t="n"/>
      <x:c r="L34" s="60" t="n"/>
      <x:c r="M34" s="60" t="n"/>
      <x:c r="N34" s="60" t="n"/>
      <x:c r="O34" s="60" t="n"/>
    </x:row>
    <x:row r="35">
      <x:c r="A35" s="60" t="n"/>
      <x:c r="B35" s="60" t="n"/>
      <x:c r="C35" s="60" t="n"/>
      <x:c r="D35" s="60" t="n"/>
      <x:c r="E35" s="60" t="n"/>
      <x:c r="F35" s="60" t="n"/>
      <x:c r="G35" s="60" t="n"/>
      <x:c r="H35" s="60" t="n"/>
      <x:c r="I35" s="60" t="n"/>
      <x:c r="J35" s="60" t="n"/>
      <x:c r="K35" s="60" t="n"/>
      <x:c r="L35" s="60" t="n"/>
      <x:c r="M35" s="60" t="n"/>
      <x:c r="N35" s="60" t="n"/>
      <x:c r="O35" s="60" t="n"/>
    </x:row>
    <x:row r="36">
      <x:c r="A36" s="60" t="n"/>
      <x:c r="B36" s="60" t="n"/>
      <x:c r="C36" s="60" t="n"/>
      <x:c r="D36" s="60" t="n"/>
      <x:c r="E36" s="60" t="n"/>
      <x:c r="F36" s="60" t="n"/>
      <x:c r="G36" s="60" t="n"/>
      <x:c r="H36" s="60" t="n"/>
      <x:c r="I36" s="60" t="n"/>
      <x:c r="J36" s="60" t="n"/>
      <x:c r="K36" s="60" t="n"/>
      <x:c r="L36" s="60" t="n"/>
      <x:c r="M36" s="60" t="n"/>
      <x:c r="N36" s="60" t="n"/>
      <x:c r="O36" s="60" t="n"/>
    </x:row>
    <x:row r="37">
      <x:c r="A37" s="60" t="n"/>
      <x:c r="B37" s="60" t="n"/>
      <x:c r="C37" s="60" t="n"/>
      <x:c r="D37" s="60" t="n"/>
      <x:c r="E37" s="60" t="n"/>
      <x:c r="F37" s="60" t="n"/>
      <x:c r="G37" s="60" t="n"/>
      <x:c r="H37" s="60" t="n"/>
      <x:c r="I37" s="60" t="n"/>
      <x:c r="J37" s="60" t="n"/>
      <x:c r="K37" s="60" t="n"/>
      <x:c r="L37" s="60" t="n"/>
      <x:c r="M37" s="60" t="n"/>
      <x:c r="N37" s="60" t="n"/>
      <x:c r="O37" s="60" t="n"/>
    </x:row>
    <x:row r="38">
      <x:c r="A38" s="60" t="n"/>
      <x:c r="B38" s="60" t="n"/>
      <x:c r="C38" s="60" t="n"/>
      <x:c r="D38" s="60" t="n"/>
      <x:c r="E38" s="60" t="n"/>
      <x:c r="F38" s="60" t="n"/>
      <x:c r="G38" s="60" t="n"/>
      <x:c r="H38" s="60" t="n"/>
      <x:c r="I38" s="60" t="n"/>
      <x:c r="J38" s="60" t="n"/>
      <x:c r="K38" s="60" t="n"/>
      <x:c r="L38" s="60" t="n"/>
      <x:c r="M38" s="60" t="n"/>
      <x:c r="N38" s="60" t="n"/>
      <x:c r="O38" s="60" t="n"/>
    </x:row>
    <x:row r="39">
      <x:c r="A39" s="60" t="n"/>
      <x:c r="B39" s="60" t="n"/>
      <x:c r="C39" s="60" t="n"/>
      <x:c r="D39" s="60" t="n"/>
      <x:c r="E39" s="60" t="n"/>
      <x:c r="F39" s="60" t="n"/>
      <x:c r="G39" s="60" t="n"/>
      <x:c r="H39" s="60" t="n"/>
      <x:c r="I39" s="60" t="n"/>
      <x:c r="J39" s="60" t="n"/>
      <x:c r="K39" s="60" t="n"/>
      <x:c r="L39" s="60" t="n"/>
      <x:c r="M39" s="60" t="n"/>
      <x:c r="N39" s="60" t="n"/>
      <x:c r="O39" s="60" t="n"/>
    </x:row>
    <x:row r="40">
      <x:c r="A40" s="60" t="n"/>
      <x:c r="B40" s="60" t="n"/>
      <x:c r="C40" s="60" t="n"/>
      <x:c r="D40" s="60" t="n"/>
      <x:c r="E40" s="60" t="n"/>
      <x:c r="F40" s="60" t="n"/>
      <x:c r="G40" s="60" t="n"/>
      <x:c r="H40" s="60" t="n"/>
      <x:c r="I40" s="60" t="n"/>
      <x:c r="J40" s="60" t="n"/>
      <x:c r="K40" s="60" t="n"/>
      <x:c r="L40" s="60" t="n"/>
      <x:c r="M40" s="60" t="n"/>
      <x:c r="N40" s="60" t="n"/>
      <x:c r="O40" s="60" t="n"/>
    </x:row>
  </x:sheetData>
  <x:mergeCells>
    <x:mergeCell ref="A1:O1"/>
    <x:mergeCell ref="A2:O2"/>
  </x:mergeCells>
  <x:dataValidations count="1">
    <x:dataValidation type="list" allowBlank="0" showDropDown="0" showInputMessage="0" showErrorMessage="0" sqref="B9:B28">
      <x:formula1>"Sjælland,Fyn,Jylland,Andet"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sheetData>
    <x:row r="1">
      <x:c r="A1" s="123" t="inlineStr">
        <x:is>
          <x:t xml:space="preserve">Badminton Danmark – pointregulering 2026/27 (Appendiks B)</x:t>
        </x:is>
      </x:c>
      <x:c r="B1" s="1" t="n"/>
      <x:c r="C1" s="1" t="n"/>
      <x:c r="D1" s="1" t="n"/>
      <x:c r="E1" s="1" t="n"/>
      <x:c r="F1" s="1" t="n"/>
      <x:c r="G1" s="1" t="n"/>
      <x:c r="H1" s="1" t="n"/>
    </x:row>
    <x:row r="2">
      <x:c r="A2" s="60" t="n"/>
      <x:c r="B2" s="60" t="n"/>
      <x:c r="C2" s="60" t="n"/>
      <x:c r="D2" s="60" t="n"/>
      <x:c r="E2" s="60" t="n"/>
      <x:c r="F2" s="60" t="n"/>
      <x:c r="G2" s="60" t="n"/>
      <x:c r="H2" s="60" t="n"/>
    </x:row>
    <x:row r="3">
      <x:c r="A3" s="60" t="inlineStr">
        <x:is>
          <x:t xml:space="preserve">Pointforskel fra</x:t>
        </x:is>
      </x:c>
      <x:c r="B3" s="60" t="inlineStr">
        <x:is>
          <x:t xml:space="preserve">BD-interval</x:t>
        </x:is>
      </x:c>
      <x:c r="C3" s="60" t="inlineStr">
        <x:is>
          <x:t xml:space="preserve">Uventet nederlag</x:t>
        </x:is>
      </x:c>
      <x:c r="D3" s="60" t="inlineStr">
        <x:is>
          <x:t xml:space="preserve">Uventet sejr</x:t>
        </x:is>
      </x:c>
      <x:c r="E3" s="60" t="inlineStr">
        <x:is>
          <x:t xml:space="preserve">Ventet nederlag U17-U19/SEN</x:t>
        </x:is>
      </x:c>
      <x:c r="F3" s="60" t="inlineStr">
        <x:is>
          <x:t xml:space="preserve">Ventet nederlag U11-U15</x:t>
        </x:is>
      </x:c>
      <x:c r="G3" s="60" t="inlineStr">
        <x:is>
          <x:t xml:space="preserve">Ventet sejr</x:t>
        </x:is>
      </x:c>
      <x:c r="H3" s="60" t="n"/>
    </x:row>
    <x:row r="4">
      <x:c r="A4" s="60" t="n">
        <x:v>0</x:v>
      </x:c>
      <x:c r="B4" s="60" t="inlineStr">
        <x:is>
          <x:t xml:space="preserve">00</x:t>
        </x:is>
      </x:c>
      <x:c r="C4" s="60" t="n"/>
      <x:c r="D4" s="60" t="n"/>
      <x:c r="E4" s="60" t="n">
        <x:v>-8</x:v>
      </x:c>
      <x:c r="F4" s="60" t="n">
        <x:v>-6</x:v>
      </x:c>
      <x:c r="G4" s="60" t="n">
        <x:v>14</x:v>
      </x:c>
      <x:c r="H4" s="60" t="n"/>
    </x:row>
    <x:row r="5">
      <x:c r="A5" s="60" t="n">
        <x:v>1</x:v>
      </x:c>
      <x:c r="B5" s="60" t="inlineStr">
        <x:is>
          <x:t xml:space="preserve">01-24</x:t>
        </x:is>
      </x:c>
      <x:c r="C5" s="60" t="n">
        <x:v>-8</x:v>
      </x:c>
      <x:c r="D5" s="60" t="n">
        <x:v>14</x:v>
      </x:c>
      <x:c r="E5" s="60" t="n">
        <x:v>-8</x:v>
      </x:c>
      <x:c r="F5" s="60" t="n">
        <x:v>-6</x:v>
      </x:c>
      <x:c r="G5" s="60" t="n">
        <x:v>14</x:v>
      </x:c>
      <x:c r="H5" s="60" t="n"/>
    </x:row>
    <x:row r="6">
      <x:c r="A6" s="60" t="n">
        <x:v>25</x:v>
      </x:c>
      <x:c r="B6" s="60" t="inlineStr">
        <x:is>
          <x:t xml:space="preserve">25-49</x:t>
        </x:is>
      </x:c>
      <x:c r="C6" s="60" t="n">
        <x:v>-10</x:v>
      </x:c>
      <x:c r="D6" s="60" t="n">
        <x:v>16</x:v>
      </x:c>
      <x:c r="E6" s="60" t="n">
        <x:v>-8</x:v>
      </x:c>
      <x:c r="F6" s="60" t="n">
        <x:v>-6</x:v>
      </x:c>
      <x:c r="G6" s="60" t="n">
        <x:v>13</x:v>
      </x:c>
      <x:c r="H6" s="60" t="n"/>
    </x:row>
    <x:row r="7">
      <x:c r="A7" s="60" t="n">
        <x:v>50</x:v>
      </x:c>
      <x:c r="B7" s="60" t="inlineStr">
        <x:is>
          <x:t xml:space="preserve">50-74</x:t>
        </x:is>
      </x:c>
      <x:c r="C7" s="60" t="n">
        <x:v>-12</x:v>
      </x:c>
      <x:c r="D7" s="60" t="n">
        <x:v>18</x:v>
      </x:c>
      <x:c r="E7" s="60" t="n">
        <x:v>-7</x:v>
      </x:c>
      <x:c r="F7" s="60" t="n">
        <x:v>-5</x:v>
      </x:c>
      <x:c r="G7" s="60" t="n">
        <x:v>12</x:v>
      </x:c>
      <x:c r="H7" s="60" t="n"/>
    </x:row>
    <x:row r="8">
      <x:c r="A8" s="60" t="n">
        <x:v>75</x:v>
      </x:c>
      <x:c r="B8" s="60" t="inlineStr">
        <x:is>
          <x:t xml:space="preserve">75-99</x:t>
        </x:is>
      </x:c>
      <x:c r="C8" s="60" t="n">
        <x:v>-14</x:v>
      </x:c>
      <x:c r="D8" s="60" t="n">
        <x:v>20</x:v>
      </x:c>
      <x:c r="E8" s="60" t="n">
        <x:v>-7</x:v>
      </x:c>
      <x:c r="F8" s="60" t="n">
        <x:v>-5</x:v>
      </x:c>
      <x:c r="G8" s="60" t="n">
        <x:v>11</x:v>
      </x:c>
      <x:c r="H8" s="60" t="n"/>
    </x:row>
    <x:row r="9">
      <x:c r="A9" s="60" t="n">
        <x:v>100</x:v>
      </x:c>
      <x:c r="B9" s="60" t="inlineStr">
        <x:is>
          <x:t xml:space="preserve">100-149</x:t>
        </x:is>
      </x:c>
      <x:c r="C9" s="60" t="n">
        <x:v>-16</x:v>
      </x:c>
      <x:c r="D9" s="60" t="n">
        <x:v>22</x:v>
      </x:c>
      <x:c r="E9" s="60" t="n">
        <x:v>-6</x:v>
      </x:c>
      <x:c r="F9" s="60" t="n">
        <x:v>-4</x:v>
      </x:c>
      <x:c r="G9" s="60" t="n">
        <x:v>10</x:v>
      </x:c>
      <x:c r="H9" s="60" t="n"/>
    </x:row>
    <x:row r="10">
      <x:c r="A10" s="60" t="n">
        <x:v>150</x:v>
      </x:c>
      <x:c r="B10" s="60" t="inlineStr">
        <x:is>
          <x:t xml:space="preserve">150-199</x:t>
        </x:is>
      </x:c>
      <x:c r="C10" s="60" t="n">
        <x:v>-18</x:v>
      </x:c>
      <x:c r="D10" s="60" t="n">
        <x:v>24</x:v>
      </x:c>
      <x:c r="E10" s="60" t="n">
        <x:v>-6</x:v>
      </x:c>
      <x:c r="F10" s="60" t="n">
        <x:v>-4</x:v>
      </x:c>
      <x:c r="G10" s="60" t="n">
        <x:v>9</x:v>
      </x:c>
      <x:c r="H10" s="60" t="n"/>
    </x:row>
    <x:row r="11">
      <x:c r="A11" s="60" t="n">
        <x:v>200</x:v>
      </x:c>
      <x:c r="B11" s="60" t="inlineStr">
        <x:is>
          <x:t xml:space="preserve">200-249</x:t>
        </x:is>
      </x:c>
      <x:c r="C11" s="60" t="n">
        <x:v>-18</x:v>
      </x:c>
      <x:c r="D11" s="60" t="n">
        <x:v>26</x:v>
      </x:c>
      <x:c r="E11" s="60" t="n">
        <x:v>-5</x:v>
      </x:c>
      <x:c r="F11" s="60" t="n">
        <x:v>0</x:v>
      </x:c>
      <x:c r="G11" s="60" t="n">
        <x:v>8</x:v>
      </x:c>
      <x:c r="H11" s="60" t="n"/>
    </x:row>
    <x:row r="12">
      <x:c r="A12" s="60" t="n">
        <x:v>250</x:v>
      </x:c>
      <x:c r="B12" s="60" t="inlineStr">
        <x:is>
          <x:t xml:space="preserve">250-299</x:t>
        </x:is>
      </x:c>
      <x:c r="C12" s="60" t="n">
        <x:v>-18</x:v>
      </x:c>
      <x:c r="D12" s="60" t="n">
        <x:v>28</x:v>
      </x:c>
      <x:c r="E12" s="60" t="n">
        <x:v>-5</x:v>
      </x:c>
      <x:c r="F12" s="60" t="n">
        <x:v>0</x:v>
      </x:c>
      <x:c r="G12" s="60" t="n">
        <x:v>7</x:v>
      </x:c>
      <x:c r="H12" s="60" t="n"/>
    </x:row>
    <x:row r="13">
      <x:c r="A13" s="60" t="n">
        <x:v>300</x:v>
      </x:c>
      <x:c r="B13" s="60" t="inlineStr">
        <x:is>
          <x:t xml:space="preserve">300-349</x:t>
        </x:is>
      </x:c>
      <x:c r="C13" s="60" t="n">
        <x:v>-18</x:v>
      </x:c>
      <x:c r="D13" s="60" t="n">
        <x:v>30</x:v>
      </x:c>
      <x:c r="E13" s="60" t="n">
        <x:v>-4</x:v>
      </x:c>
      <x:c r="F13" s="60" t="n">
        <x:v>0</x:v>
      </x:c>
      <x:c r="G13" s="60" t="n">
        <x:v>6</x:v>
      </x:c>
      <x:c r="H13" s="60" t="n"/>
    </x:row>
    <x:row r="14">
      <x:c r="A14" s="60" t="n">
        <x:v>350</x:v>
      </x:c>
      <x:c r="B14" s="60" t="inlineStr">
        <x:is>
          <x:t xml:space="preserve">350-399</x:t>
        </x:is>
      </x:c>
      <x:c r="C14" s="60" t="n">
        <x:v>-20</x:v>
      </x:c>
      <x:c r="D14" s="60" t="n">
        <x:v>32</x:v>
      </x:c>
      <x:c r="E14" s="60" t="n">
        <x:v>-4</x:v>
      </x:c>
      <x:c r="F14" s="60" t="n">
        <x:v>0</x:v>
      </x:c>
      <x:c r="G14" s="60" t="n">
        <x:v>5</x:v>
      </x:c>
      <x:c r="H14" s="60" t="n"/>
    </x:row>
    <x:row r="15">
      <x:c r="A15" s="60" t="n">
        <x:v>400</x:v>
      </x:c>
      <x:c r="B15" s="60" t="inlineStr">
        <x:is>
          <x:t xml:space="preserve">&gt;=400</x:t>
        </x:is>
      </x:c>
      <x:c r="C15" s="60" t="n">
        <x:v>-20</x:v>
      </x:c>
      <x:c r="D15" s="60" t="n">
        <x:v>32</x:v>
      </x:c>
      <x:c r="E15" s="60" t="n">
        <x:v>0</x:v>
      </x:c>
      <x:c r="F15" s="60" t="n">
        <x:v>0</x:v>
      </x:c>
      <x:c r="G15" s="60" t="n">
        <x:v>4</x:v>
      </x:c>
      <x:c r="H15" s="60" t="n"/>
    </x:row>
    <x:row r="16">
      <x:c r="A16" s="60" t="n"/>
      <x:c r="B16" s="60" t="n"/>
      <x:c r="C16" s="60" t="n"/>
      <x:c r="D16" s="60" t="n"/>
      <x:c r="E16" s="60" t="n"/>
      <x:c r="F16" s="60" t="n"/>
      <x:c r="G16" s="60" t="n"/>
      <x:c r="H16" s="60" t="n"/>
    </x:row>
    <x:row r="17">
      <x:c r="A17" s="60" t="n"/>
      <x:c r="B17" s="60" t="n"/>
      <x:c r="C17" s="60" t="n"/>
      <x:c r="D17" s="60" t="n"/>
      <x:c r="E17" s="60" t="n"/>
      <x:c r="F17" s="60" t="n"/>
      <x:c r="G17" s="60" t="n"/>
      <x:c r="H17" s="60" t="n"/>
    </x:row>
    <x:row r="18">
      <x:c r="A18" s="60" t="inlineStr">
        <x:is>
          <x:t xml:space="preserve">Matti-specifik note</x:t>
        </x:is>
      </x:c>
      <x:c r="B18" s="60" t="inlineStr">
        <x:is>
          <x:t xml:space="preserve">Regel</x:t>
        </x:is>
      </x:c>
      <x:c r="C18" s="60" t="n"/>
      <x:c r="D18" s="60" t="n"/>
      <x:c r="E18" s="60" t="n"/>
      <x:c r="F18" s="60" t="n"/>
      <x:c r="G18" s="60" t="n"/>
      <x:c r="H18" s="60" t="n"/>
    </x:row>
    <x:row r="19">
      <x:c r="A19" s="60" t="inlineStr">
        <x:is>
          <x:t xml:space="preserve">Aldersgruppe</x:t>
        </x:is>
      </x:c>
      <x:c r="B19" s="60" t="inlineStr">
        <x:is>
          <x:t xml:space="preserve">U15 hele sæsonen 2026/27.</x:t>
        </x:is>
      </x:c>
      <x:c r="C19" s="60" t="n"/>
      <x:c r="D19" s="60" t="n"/>
      <x:c r="E19" s="60" t="n"/>
      <x:c r="F19" s="60" t="n"/>
      <x:c r="G19" s="60" t="n"/>
      <x:c r="H19" s="60" t="n"/>
    </x:row>
    <x:row r="20">
      <x:c r="A20" s="60" t="inlineStr">
        <x:is>
          <x:t xml:space="preserve">Ventet nederlag</x:t>
        </x:is>
      </x:c>
      <x:c r="B20" s="60" t="inlineStr">
        <x:is>
          <x:t xml:space="preserve">Brug U11-U15-kolonnen hele sæsonen.</x:t>
        </x:is>
      </x:c>
      <x:c r="C20" s="60" t="n"/>
      <x:c r="D20" s="60" t="n"/>
      <x:c r="E20" s="60" t="n"/>
      <x:c r="F20" s="60" t="n"/>
      <x:c r="G20" s="60" t="n"/>
      <x:c r="H20" s="60" t="n"/>
    </x:row>
    <x:row r="21">
      <x:c r="A21" s="60" t="inlineStr">
        <x:is>
          <x:t xml:space="preserve">Individuel Double/Mix</x:t>
        </x:is>
      </x:c>
      <x:c r="B21" s="60" t="inlineStr">
        <x:is>
          <x:t xml:space="preserve">Nederlag reguleres normalt efter Appendiks B.</x:t>
        </x:is>
      </x:c>
      <x:c r="C21" s="60" t="n"/>
      <x:c r="D21" s="60" t="n"/>
      <x:c r="E21" s="60" t="n"/>
      <x:c r="F21" s="60" t="n"/>
      <x:c r="G21" s="60" t="n"/>
      <x:c r="H21" s="60" t="n"/>
    </x:row>
    <x:row r="22">
      <x:c r="A22" s="60" t="inlineStr">
        <x:is>
          <x:t xml:space="preserve">Ungdomshold Double/Mix</x:t>
        </x:is>
      </x:c>
      <x:c r="B22" s="60" t="inlineStr">
        <x:is>
          <x:t xml:space="preserve">Kun her gælder 0 pointtab ved nederlag.</x:t>
        </x:is>
      </x:c>
      <x:c r="C22" s="60" t="n"/>
      <x:c r="D22" s="60" t="n"/>
      <x:c r="E22" s="60" t="n"/>
      <x:c r="F22" s="60" t="n"/>
      <x:c r="G22" s="60" t="n"/>
      <x:c r="H22" s="60" t="n"/>
    </x:row>
    <x:row r="23">
      <x:c r="A23" s="60" t="inlineStr">
        <x:is>
          <x:t xml:space="preserve">Double/Mix styrke</x:t>
        </x:is>
      </x:c>
      <x:c r="B23" s="60" t="inlineStr">
        <x:is>
          <x:t xml:space="preserve">Begge pars kategoripoint lægges sammen og divideres med 2.</x:t>
        </x:is>
      </x:c>
      <x:c r="C23" s="60" t="n"/>
      <x:c r="D23" s="60" t="n"/>
      <x:c r="E23" s="60" t="n"/>
      <x:c r="F23" s="60" t="n"/>
      <x:c r="G23" s="60" t="n"/>
      <x:c r="H23" s="60" t="n"/>
    </x:row>
    <x:row r="24">
      <x:c r="A24" s="60" t="inlineStr">
        <x:is>
          <x:t xml:space="preserve">Kilde</x:t>
        </x:is>
      </x:c>
      <x:c r="B24" s="60" t="inlineStr">
        <x:is>
          <x:t xml:space="preserve">https://badminton.dk/wp-content/uploads/2026/07/Reglement-for-Rangliste-2026-06-29-1.pdf</x:t>
        </x:is>
      </x:c>
      <x:c r="C24" s="60" t="n"/>
      <x:c r="D24" s="60" t="n"/>
      <x:c r="E24" s="60" t="n"/>
      <x:c r="F24" s="60" t="n"/>
      <x:c r="G24" s="60" t="n"/>
      <x:c r="H24" s="60" t="n"/>
    </x:row>
    <x:row r="25">
      <x:c r="A25" s="60" t="n"/>
      <x:c r="B25" s="60" t="n"/>
      <x:c r="C25" s="60" t="n"/>
      <x:c r="D25" s="60" t="n"/>
      <x:c r="E25" s="60" t="n"/>
      <x:c r="F25" s="60" t="n"/>
      <x:c r="G25" s="60" t="n"/>
      <x:c r="H25" s="60" t="n"/>
    </x:row>
    <x:row r="26">
      <x:c r="A26" s="60" t="n"/>
      <x:c r="B26" s="60" t="n"/>
      <x:c r="C26" s="60" t="n"/>
      <x:c r="D26" s="60" t="n"/>
      <x:c r="E26" s="60" t="n"/>
      <x:c r="F26" s="60" t="n"/>
      <x:c r="G26" s="60" t="n"/>
      <x:c r="H26" s="60" t="n"/>
    </x:row>
    <x:row r="27">
      <x:c r="A27" s="60" t="n"/>
      <x:c r="B27" s="60" t="n"/>
      <x:c r="C27" s="60" t="n"/>
      <x:c r="D27" s="60" t="n"/>
      <x:c r="E27" s="60" t="n"/>
      <x:c r="F27" s="60" t="n"/>
      <x:c r="G27" s="60" t="n"/>
      <x:c r="H27" s="60" t="n"/>
    </x:row>
    <x:row r="28">
      <x:c r="A28" s="60" t="n"/>
      <x:c r="B28" s="60" t="n"/>
      <x:c r="C28" s="60" t="n"/>
      <x:c r="D28" s="60" t="n"/>
      <x:c r="E28" s="60" t="n"/>
      <x:c r="F28" s="60" t="n"/>
      <x:c r="G28" s="60" t="n"/>
      <x:c r="H28" s="60" t="n"/>
    </x:row>
    <x:row r="29">
      <x:c r="A29" s="60" t="n"/>
      <x:c r="B29" s="60" t="n"/>
      <x:c r="C29" s="60" t="n"/>
      <x:c r="D29" s="60" t="n"/>
      <x:c r="E29" s="60" t="n"/>
      <x:c r="F29" s="60" t="n"/>
      <x:c r="G29" s="60" t="n"/>
      <x:c r="H29" s="60" t="n"/>
    </x:row>
    <x:row r="30">
      <x:c r="A30" s="60" t="n"/>
      <x:c r="B30" s="60" t="n"/>
      <x:c r="C30" s="60" t="n"/>
      <x:c r="D30" s="60" t="n"/>
      <x:c r="E30" s="60" t="n"/>
      <x:c r="F30" s="60" t="n"/>
      <x:c r="G30" s="60" t="n"/>
      <x:c r="H30" s="60" t="n"/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sheetData>
    <x:row r="1">
      <x:c r="A1" s="123" t="inlineStr">
        <x:is>
          <x:t xml:space="preserve">Model &amp; indstillinger – Matti U15 2026/27</x:t>
        </x:is>
      </x:c>
      <x:c r="B1" s="1" t="n"/>
      <x:c r="C1" s="1" t="n"/>
      <x:c r="D1" s="1" t="n"/>
      <x:c r="E1" s="1" t="n"/>
      <x:c r="F1" s="1" t="n"/>
    </x:row>
    <x:row r="2">
      <x:c r="A2" s="60" t="n"/>
      <x:c r="B2" s="60" t="n"/>
      <x:c r="C2" s="60" t="n"/>
      <x:c r="D2" s="60" t="n"/>
      <x:c r="E2" s="60" t="n"/>
      <x:c r="F2" s="60" t="n"/>
    </x:row>
    <x:row r="3">
      <x:c r="A3" s="60" t="inlineStr">
        <x:is>
          <x:t xml:space="preserve">Indstilling</x:t>
        </x:is>
      </x:c>
      <x:c r="B3" s="60" t="inlineStr">
        <x:is>
          <x:t xml:space="preserve">Værdi</x:t>
        </x:is>
      </x:c>
      <x:c r="C3" s="60" t="n"/>
      <x:c r="D3" s="60" t="n"/>
      <x:c r="E3" s="60" t="n"/>
      <x:c r="F3" s="60" t="n"/>
    </x:row>
    <x:row r="4">
      <x:c r="A4" s="60" t="inlineStr">
        <x:is>
          <x:t xml:space="preserve">Mål – vægtet TN</x:t>
        </x:is>
      </x:c>
      <x:c r="B4" s="60" t="n">
        <x:v>1850</x:v>
      </x:c>
      <x:c r="C4" s="60" t="n"/>
      <x:c r="D4" s="60" t="n"/>
      <x:c r="E4" s="60" t="n"/>
      <x:c r="F4" s="60" t="n"/>
    </x:row>
    <x:row r="5">
      <x:c r="A5" s="60" t="inlineStr">
        <x:is>
          <x:t xml:space="preserve">Aldersgruppe</x:t>
        </x:is>
      </x:c>
      <x:c r="B5" s="60" t="inlineStr">
        <x:is>
          <x:t xml:space="preserve">U15 – låst hele sæsonen</x:t>
        </x:is>
      </x:c>
      <x:c r="C5" s="60" t="n"/>
      <x:c r="D5" s="60" t="n"/>
      <x:c r="E5" s="60" t="n"/>
      <x:c r="F5" s="60" t="n"/>
    </x:row>
    <x:row r="6">
      <x:c r="A6" s="60" t="inlineStr">
        <x:is>
          <x:t xml:space="preserve">Start efter Fyn 16/08/2026 – Single point</x:t>
        </x:is>
      </x:c>
      <x:c r="B6" s="60" t="n">
        <x:v>1712</x:v>
      </x:c>
      <x:c r="C6" s="60" t="n"/>
      <x:c r="D6" s="60" t="n"/>
      <x:c r="E6" s="60" t="n"/>
      <x:c r="F6" s="60" t="n"/>
    </x:row>
    <x:row r="7">
      <x:c r="A7" s="60" t="inlineStr">
        <x:is>
          <x:t xml:space="preserve">Start Single kampe</x:t>
        </x:is>
      </x:c>
      <x:c r="B7" s="60" t="n">
        <x:v>46</x:v>
      </x:c>
      <x:c r="C7" s="60" t="n"/>
      <x:c r="D7" s="60" t="n"/>
      <x:c r="E7" s="60" t="n"/>
      <x:c r="F7" s="60" t="n"/>
    </x:row>
    <x:row r="8">
      <x:c r="A8" s="60" t="inlineStr">
        <x:is>
          <x:t xml:space="preserve">Start Double point</x:t>
        </x:is>
      </x:c>
      <x:c r="B8" s="60" t="n">
        <x:v>1632</x:v>
      </x:c>
      <x:c r="C8" s="60" t="n"/>
      <x:c r="D8" s="60" t="n"/>
      <x:c r="E8" s="60" t="n"/>
      <x:c r="F8" s="60" t="n"/>
    </x:row>
    <x:row r="9">
      <x:c r="A9" s="60" t="inlineStr">
        <x:is>
          <x:t xml:space="preserve">Start Double kampe</x:t>
        </x:is>
      </x:c>
      <x:c r="B9" s="60" t="n">
        <x:v>41</x:v>
      </x:c>
      <x:c r="C9" s="60" t="n"/>
      <x:c r="D9" s="60" t="n"/>
      <x:c r="E9" s="60" t="n"/>
      <x:c r="F9" s="60" t="n"/>
    </x:row>
    <x:row r="10">
      <x:c r="A10" s="60" t="inlineStr">
        <x:is>
          <x:t xml:space="preserve">Start Mix point</x:t>
        </x:is>
      </x:c>
      <x:c r="B10" s="60" t="n">
        <x:v>1386</x:v>
      </x:c>
      <x:c r="C10" s="60" t="n"/>
      <x:c r="D10" s="60" t="n"/>
      <x:c r="E10" s="60" t="n"/>
      <x:c r="F10" s="60" t="n"/>
    </x:row>
    <x:row r="11">
      <x:c r="A11" s="60" t="inlineStr">
        <x:is>
          <x:t xml:space="preserve">Start Mix kampe</x:t>
        </x:is>
      </x:c>
      <x:c r="B11" s="60" t="n">
        <x:v>5</x:v>
      </x:c>
      <x:c r="C11" s="60" t="n"/>
      <x:c r="D11" s="60" t="n"/>
      <x:c r="E11" s="60" t="n"/>
      <x:c r="F11" s="60" t="n"/>
    </x:row>
    <x:row r="12">
      <x:c r="A12" s="60" t="inlineStr">
        <x:is>
          <x:t xml:space="preserve">Vægtet TN efter Fyn</x:t>
        </x:is>
      </x:c>
      <x:c r="B12" s="60" t="n">
        <x:v>1676</x:v>
      </x:c>
      <x:c r="C12" s="60" t="n"/>
      <x:c r="D12" s="60" t="n"/>
      <x:c r="E12" s="60" t="n"/>
      <x:c r="F12" s="60" t="n"/>
    </x:row>
    <x:row r="13">
      <x:c r="A13" s="60" t="inlineStr">
        <x:is>
          <x:t xml:space="preserve">Vægtet TN før Fyn</x:t>
        </x:is>
      </x:c>
      <x:c r="B13" s="60" t="n">
        <x:v>1655</x:v>
      </x:c>
      <x:c r="C13" s="60" t="n"/>
      <x:c r="D13" s="60" t="n"/>
      <x:c r="E13" s="60" t="n"/>
      <x:c r="F13" s="60" t="n"/>
    </x:row>
    <x:row r="14">
      <x:c r="A14" s="60" t="n"/>
      <x:c r="B14" s="60" t="n"/>
      <x:c r="C14" s="60" t="n"/>
      <x:c r="D14" s="60" t="n"/>
      <x:c r="E14" s="60" t="n"/>
      <x:c r="F14" s="60" t="n"/>
    </x:row>
    <x:row r="15">
      <x:c r="A15" s="60" t="inlineStr">
        <x:is>
          <x:t xml:space="preserve">Forenia Weighted Level v1</x:t>
        </x:is>
      </x:c>
      <x:c r="B15" s="60" t="inlineStr">
        <x:is>
          <x:t xml:space="preserve">Parameter</x:t>
        </x:is>
      </x:c>
      <x:c r="C15" s="60" t="n"/>
      <x:c r="D15" s="60" t="inlineStr">
        <x:is>
          <x:t xml:space="preserve">Teknisk parameter</x:t>
        </x:is>
      </x:c>
      <x:c r="E15" s="60" t="inlineStr">
        <x:is>
          <x:t xml:space="preserve">Værdi</x:t>
        </x:is>
      </x:c>
      <x:c r="F15" s="60" t="n"/>
    </x:row>
    <x:row r="16">
      <x:c r="A16" s="60" t="inlineStr">
        <x:is>
          <x:t xml:space="preserve">Gap &lt; 50</x:t>
        </x:is>
      </x:c>
      <x:c r="B16" s="60" t="n">
        <x:v>0.27</x:v>
      </x:c>
      <x:c r="C16" s="60" t="n"/>
      <x:c r="D16" s="60" t="inlineStr">
        <x:is>
          <x:t xml:space="preserve">Gap: lille</x:t>
        </x:is>
      </x:c>
      <x:c r="E16" s="60" t="n">
        <x:v>50</x:v>
      </x:c>
      <x:c r="F16" s="60" t="n"/>
    </x:row>
    <x:row r="17">
      <x:c r="A17" s="60" t="inlineStr">
        <x:is>
          <x:t xml:space="preserve">2 aktive kategorier, gap 50–124</x:t>
        </x:is>
      </x:c>
      <x:c r="B17" s="60" t="n">
        <x:v>0.31</x:v>
      </x:c>
      <x:c r="C17" s="60" t="n"/>
      <x:c r="D17" s="60" t="inlineStr">
        <x:is>
          <x:t xml:space="preserve">Gap: 2 kat. øvre</x:t>
        </x:is>
      </x:c>
      <x:c r="E17" s="60" t="n">
        <x:v>125</x:v>
      </x:c>
      <x:c r="F17" s="60" t="n"/>
    </x:row>
    <x:row r="18">
      <x:c r="A18" s="60" t="inlineStr">
        <x:is>
          <x:t xml:space="preserve">Ellers / 3 kategorier stor gap</x:t>
        </x:is>
      </x:c>
      <x:c r="B18" s="60" t="n">
        <x:v>0.321</x:v>
      </x:c>
      <x:c r="C18" s="60" t="n"/>
      <x:c r="D18" s="60" t="inlineStr">
        <x:is>
          <x:t xml:space="preserve">Bonus: lille</x:t>
        </x:is>
      </x:c>
      <x:c r="E18" s="60" t="n">
        <x:v>0.27</x:v>
      </x:c>
      <x:c r="F18" s="60" t="n"/>
    </x:row>
    <x:row r="19">
      <x:c r="A19" s="60" t="inlineStr">
        <x:is>
          <x:t xml:space="preserve">Grundgennemsnit</x:t>
        </x:is>
      </x:c>
      <x:c r="B19" s="60" t="inlineStr">
        <x:is>
          <x:t xml:space="preserve">Σ(point × kampe) / Σ(kampe)</x:t>
        </x:is>
      </x:c>
      <x:c r="C19" s="60" t="n"/>
      <x:c r="D19" s="60" t="inlineStr">
        <x:is>
          <x:t xml:space="preserve">Bonus: 2 kat. mellem</x:t>
        </x:is>
      </x:c>
      <x:c r="E19" s="60" t="n">
        <x:v>0.31</x:v>
      </x:c>
      <x:c r="F19" s="60" t="n"/>
    </x:row>
    <x:row r="20">
      <x:c r="A20" s="60" t="inlineStr">
        <x:is>
          <x:t xml:space="preserve">TN rå</x:t>
        </x:is>
      </x:c>
      <x:c r="B20" s="60" t="inlineStr">
        <x:is>
          <x:t xml:space="preserve">G + bonus × (bedste point − G)</x:t>
        </x:is>
      </x:c>
      <x:c r="C20" s="60" t="n"/>
      <x:c r="D20" s="60" t="inlineStr">
        <x:is>
          <x:t xml:space="preserve">Bonus: høj</x:t>
        </x:is>
      </x:c>
      <x:c r="E20" s="60" t="n">
        <x:v>0.321</x:v>
      </x:c>
      <x:c r="F20" s="60" t="n"/>
    </x:row>
    <x:row r="21">
      <x:c r="A21" s="60" t="inlineStr">
        <x:is>
          <x:t xml:space="preserve">TN</x:t>
        </x:is>
      </x:c>
      <x:c r="B21" s="60" t="inlineStr">
        <x:is>
          <x:t xml:space="preserve">Afrundes til nærmeste heltal</x:t>
        </x:is>
      </x:c>
      <x:c r="C21" s="60" t="n"/>
      <x:c r="D21" s="60" t="n"/>
      <x:c r="E21" s="60" t="n"/>
      <x:c r="F21" s="60" t="n"/>
    </x:row>
    <x:row r="22">
      <x:c r="A22" s="60" t="inlineStr">
        <x:is>
          <x:t xml:space="preserve">Status</x:t>
        </x:is>
      </x:c>
      <x:c r="B22" s="60" t="inlineStr">
        <x:is>
          <x:t xml:space="preserve">Reverse-engineered; valideret inden for ±1</x:t>
        </x:is>
      </x:c>
      <x:c r="C22" s="60" t="n"/>
      <x:c r="D22" s="60" t="n"/>
      <x:c r="E22" s="60" t="n"/>
      <x:c r="F22" s="60" t="n"/>
    </x:row>
    <x:row r="23">
      <x:c r="A23" s="60" t="n"/>
      <x:c r="B23" s="60" t="n"/>
      <x:c r="C23" s="60" t="n"/>
      <x:c r="D23" s="60" t="n"/>
      <x:c r="E23" s="60" t="n"/>
      <x:c r="F23" s="60" t="n"/>
    </x:row>
    <x:row r="24">
      <x:c r="A24" s="60" t="inlineStr">
        <x:is>
          <x:t xml:space="preserve">BD kampmotor</x:t>
        </x:is>
      </x:c>
      <x:c r="B24" s="60" t="inlineStr">
        <x:is>
          <x:t xml:space="preserve">Regel</x:t>
        </x:is>
      </x:c>
      <x:c r="C24" s="60" t="n"/>
      <x:c r="D24" s="60" t="inlineStr">
        <x:is>
          <x:t xml:space="preserve">Migrering af brugerdata</x:t>
        </x:is>
      </x:c>
      <x:c r="E24" s="60" t="inlineStr">
        <x:is>
          <x:t xml:space="preserve">Status</x:t>
        </x:is>
      </x:c>
      <x:c r="F24" s="60" t="n"/>
    </x:row>
    <x:row r="25">
      <x:c r="A25" s="60" t="inlineStr">
        <x:is>
          <x:t xml:space="preserve">Pointdiff</x:t>
        </x:is>
      </x:c>
      <x:c r="B25" s="60" t="inlineStr">
        <x:is>
          <x:t xml:space="preserve">Modstanderside − egen side. Positiv = modstanderen er stærkere.</x:t>
        </x:is>
      </x:c>
      <x:c r="C25" s="60" t="n"/>
      <x:c r="D25" s="60" t="inlineStr">
        <x:is>
          <x:t xml:space="preserve">Kilde</x:t>
        </x:is>
      </x:c>
      <x:c r="E25" s="60" t="inlineStr">
        <x:is>
          <x:t xml:space="preserve">matti-u15-1850-saesontracker-v5(1).ods</x:t>
        </x:is>
      </x:c>
      <x:c r="F25" s="60" t="n"/>
    </x:row>
    <x:row r="26">
      <x:c r="A26" s="60" t="inlineStr">
        <x:is>
          <x:t xml:space="preserve">Single</x:t>
        </x:is>
      </x:c>
      <x:c r="B26" s="60" t="inlineStr">
        <x:is>
          <x:t xml:space="preserve">Egen side = Mattis kategoripoint; modstander = modstanderens kategoripoint.</x:t>
        </x:is>
      </x:c>
      <x:c r="C26" s="60" t="n"/>
      <x:c r="D26" s="60" t="inlineStr">
        <x:is>
          <x:t xml:space="preserve">Rækker migreret</x:t>
        </x:is>
      </x:c>
      <x:c r="E26" s="60" t="n">
        <x:v>22</x:v>
      </x:c>
      <x:c r="F26" s="60" t="n"/>
    </x:row>
    <x:row r="27">
      <x:c r="A27" s="60" t="inlineStr">
        <x:is>
          <x:t xml:space="preserve">Double / Mix</x:t>
        </x:is>
      </x:c>
      <x:c r="B27" s="60" t="inlineStr">
        <x:is>
          <x:t xml:space="preserve">Egen side = (Matti + partner)/2; modstander = (modst. 1 + modst. 2)/2.</x:t>
        </x:is>
      </x:c>
      <x:c r="C27" s="60" t="n"/>
      <x:c r="D27" s="60" t="inlineStr">
        <x:is>
          <x:t xml:space="preserve">Finalespil</x:t>
        </x:is>
      </x:c>
      <x:c r="E27" s="60" t="inlineStr">
        <x:is>
          <x:t xml:space="preserve">Stævnenavn normaliseret + Runde separat</x:t>
        </x:is>
      </x:c>
      <x:c r="F27" s="60" t="n"/>
    </x:row>
    <x:row r="28">
      <x:c r="A28" s="60" t="inlineStr">
        <x:is>
          <x:t xml:space="preserve">U15 ventet nederlag</x:t>
        </x:is>
      </x:c>
      <x:c r="B28" s="60" t="inlineStr">
        <x:is>
          <x:t xml:space="preserve">Brug altid BD-kolonnen 'Ventet nederlag U11-U15'.</x:t>
        </x:is>
      </x:c>
      <x:c r="C28" s="60" t="n"/>
      <x:c r="D28" s="60" t="inlineStr">
        <x:is>
          <x:t xml:space="preserve">Ikke spillet</x:t>
        </x:is>
      </x:c>
      <x:c r="E28" s="60" t="inlineStr">
        <x:is>
          <x:t xml:space="preserve">Tomme finalespilsrækker er sat til 'Ikke spillet'</x:t>
        </x:is>
      </x:c>
      <x:c r="F28" s="60" t="n"/>
    </x:row>
    <x:row r="29">
      <x:c r="A29" s="60" t="inlineStr">
        <x:is>
          <x:t xml:space="preserve">Holdkamp-særregel</x:t>
        </x:is>
      </x:c>
      <x:c r="B29" s="60" t="inlineStr">
        <x:is>
          <x:t xml:space="preserve">Kun Ungdomsholdturnering: nederlag i Double/Mix giver 0 pointtab.</x:t>
        </x:is>
      </x:c>
      <x:c r="C29" s="60" t="n"/>
      <x:c r="D29" s="60" t="inlineStr">
        <x:is>
          <x:t xml:space="preserve">Pointlogik</x:t>
        </x:is>
      </x:c>
      <x:c r="E29" s="60" t="inlineStr">
        <x:is>
          <x:t xml:space="preserve">Pointgrundlag frosset gennem hele stævnet</x:t>
        </x:is>
      </x:c>
      <x:c r="F29" s="60" t="n"/>
    </x:row>
    <x:row r="30">
      <x:c r="A30" s="60" t="n"/>
      <x:c r="B30" s="60" t="n"/>
      <x:c r="C30" s="60" t="n"/>
      <x:c r="D30" s="60" t="n"/>
      <x:c r="E30" s="60" t="n"/>
      <x:c r="F30" s="60" t="n"/>
    </x:row>
    <x:row r="31">
      <x:c r="A31" s="60" t="n"/>
      <x:c r="B31" s="60" t="n"/>
      <x:c r="C31" s="60" t="n"/>
      <x:c r="D31" s="60" t="n"/>
      <x:c r="E31" s="60" t="n"/>
      <x:c r="F31" s="60" t="n"/>
    </x:row>
    <x:row r="32">
      <x:c r="A32" s="60" t="inlineStr">
        <x:is>
          <x:t xml:space="preserve">BD-kilde</x:t>
        </x:is>
      </x:c>
      <x:c r="B32" s="60" t="inlineStr">
        <x:is>
          <x:t xml:space="preserve">https://badminton.dk/wp-content/uploads/2026/07/Reglement-for-Rangliste-2026-06-29-1.pdf</x:t>
        </x:is>
      </x:c>
      <x:c r="C32" s="60" t="n"/>
      <x:c r="D32" s="60" t="inlineStr">
        <x:is>
          <x:t xml:space="preserve">Turneringsoversigt</x:t>
        </x:is>
      </x:c>
      <x:c r="E32" s="60" t="inlineStr">
        <x:is>
          <x:t xml:space="preserve">Definition</x:t>
        </x:is>
      </x:c>
      <x:c r="F32" s="60" t="n"/>
    </x:row>
    <x:row r="33">
      <x:c r="A33" s="60" t="inlineStr">
        <x:is>
          <x:t xml:space="preserve">Bemærkning</x:t>
        </x:is>
      </x:c>
      <x:c r="B33" s="60" t="inlineStr">
        <x:is>
          <x:t xml:space="preserve">BD-pointskemaet kan justeres i løbet af sæsonen; kontrollér kilden ved opdatering.</x:t>
        </x:is>
      </x:c>
      <x:c r="C33" s="60" t="n"/>
      <x:c r="D33" s="60" t="inlineStr">
        <x:is>
          <x:t xml:space="preserve">Rå kategoripoint</x:t>
        </x:is>
      </x:c>
      <x:c r="E33" s="60" t="inlineStr">
        <x:is>
          <x:t xml:space="preserve">Single +/- + Double +/- + Mix +/-.</x:t>
        </x:is>
      </x:c>
      <x:c r="F33" s="60" t="n"/>
    </x:row>
    <x:row r="34">
      <x:c r="A34" s="60" t="n"/>
      <x:c r="B34" s="60" t="n"/>
      <x:c r="C34" s="60" t="n"/>
      <x:c r="D34" s="60" t="inlineStr">
        <x:is>
          <x:t xml:space="preserve">TN ændring</x:t>
        </x:is>
      </x:c>
      <x:c r="E34" s="60" t="inlineStr">
        <x:is>
          <x:t xml:space="preserve">Nyt vægtet TN minus vægtet TN før stævnet.</x:t>
        </x:is>
      </x:c>
      <x:c r="F34" s="60" t="n"/>
    </x:row>
    <x:row r="35">
      <x:c r="A35" s="60" t="inlineStr">
        <x:is>
          <x:t xml:space="preserve">Pointtilskrivning</x:t>
        </x:is>
      </x:c>
      <x:c r="B35" s="60" t="inlineStr">
        <x:is>
          <x:t xml:space="preserve">Regel</x:t>
        </x:is>
      </x:c>
      <x:c r="C35" s="60" t="n"/>
      <x:c r="D35" s="60" t="inlineStr">
        <x:is>
          <x:t xml:space="preserve">I gang</x:t>
        </x:is>
      </x:c>
      <x:c r="E35" s="60" t="inlineStr">
        <x:is>
          <x:t xml:space="preserve">Seneste stævne er ikke tilskrevet endnu; TN efter vises kun som estimat.</x:t>
        </x:is>
      </x:c>
      <x:c r="F35" s="60" t="n"/>
    </x:row>
    <x:row r="36">
      <x:c r="A36" s="60" t="inlineStr">
        <x:is>
          <x:t xml:space="preserve">Stævne som batch</x:t>
        </x:is>
      </x:c>
      <x:c r="B36" s="60" t="inlineStr">
        <x:is>
          <x:t xml:space="preserve">Alle kampe med samme sammenhængende Stævnenavn bruger samme frosne kategoripoint.</x:t>
        </x:is>
      </x:c>
      <x:c r="C36" s="60" t="n"/>
      <x:c r="D36" s="60" t="inlineStr">
        <x:is>
          <x:t xml:space="preserve">Afsluttet</x:t>
        </x:is>
      </x:c>
      <x:c r="E36" s="60" t="inlineStr">
        <x:is>
          <x:t xml:space="preserve">Et stævne bliver afsluttet automatisk, når et nyt Stævne-navn begynder.</x:t>
        </x:is>
      </x:c>
      <x:c r="F36" s="60" t="n"/>
    </x:row>
    <x:row r="37">
      <x:c r="A37" s="60" t="inlineStr">
        <x:is>
          <x:t xml:space="preserve">To dage</x:t>
        </x:is>
      </x:c>
      <x:c r="B37" s="60" t="inlineStr">
        <x:is>
          <x:t xml:space="preserve">Et stævne kan vare flere dage; så længe Stævne-feltet er identisk, er pointgrundlaget uændret.</x:t>
        </x:is>
      </x:c>
      <x:c r="C37" s="60" t="n"/>
      <x:c r="D37" s="60" t="inlineStr">
        <x:is>
          <x:t xml:space="preserve">Fast topboks</x:t>
        </x:is>
      </x:c>
      <x:c r="E37" s="60" t="inlineStr">
        <x:is>
          <x:t xml:space="preserve">Pointhøst-boksen på Kampregistrering er låst med fryseruder.</x:t>
        </x:is>
      </x:c>
      <x:c r="F37" s="60" t="n"/>
    </x:row>
    <x:row r="38">
      <x:c r="A38" s="60" t="inlineStr">
        <x:is>
          <x:t xml:space="preserve">Finalespil</x:t>
        </x:is>
      </x:c>
      <x:c r="B38" s="60" t="inlineStr">
        <x:is>
          <x:t xml:space="preserve">Kvartfinale, semifinale og finale bruger samme stævnegrundlag som puljekampene.</x:t>
        </x:is>
      </x:c>
      <x:c r="C38" s="60" t="n"/>
      <x:c r="D38" s="60" t="n"/>
      <x:c r="E38" s="60" t="n"/>
      <x:c r="F38" s="60" t="n"/>
    </x:row>
    <x:row r="39">
      <x:c r="A39" s="60" t="inlineStr">
        <x:is>
          <x:t xml:space="preserve">Double/Mix</x:t>
        </x:is>
      </x:c>
      <x:c r="B39" s="60" t="inlineStr">
        <x:is>
          <x:t xml:space="preserve">Samme princip gælder Double og Mix: kategoripoint ændres først efter hele stævnet.</x:t>
        </x:is>
      </x:c>
      <x:c r="C39" s="60" t="n"/>
      <x:c r="D39" s="60" t="n"/>
      <x:c r="E39" s="60" t="n"/>
      <x:c r="F39" s="60" t="n"/>
    </x:row>
    <x:row r="40">
      <x:c r="A40" s="60" t="inlineStr">
        <x:is>
          <x:t xml:space="preserve">Nyt stævne</x:t>
        </x:is>
      </x:c>
      <x:c r="B40" s="60" t="inlineStr">
        <x:is>
          <x:t xml:space="preserve">Når Stævne-feltet skifter til et nyt navn, bruges det foregående stævnes samlede +/- som nyt grundlag.</x:t>
        </x:is>
      </x:c>
      <x:c r="C40" s="60" t="n"/>
      <x:c r="D40" s="60" t="n"/>
      <x:c r="E40" s="60" t="n"/>
      <x:c r="F40" s="60" t="n"/>
    </x:row>
    <x:row r="41">
      <x:c r="A41" s="60" t="inlineStr">
        <x:is>
          <x:t xml:space="preserve">Ikke spillet</x:t>
        </x:is>
      </x:c>
      <x:c r="B41" s="60" t="inlineStr">
        <x:is>
          <x:t xml:space="preserve">Tæller ikke som kamp og giver ingen pointændring.</x:t>
        </x:is>
      </x:c>
      <x:c r="C41" s="60" t="n"/>
      <x:c r="D41" s="60" t="n"/>
      <x:c r="E41" s="60" t="n"/>
      <x:c r="F41" s="60" t="n"/>
    </x:row>
    <x:row r="42">
      <x:c r="A42" s="60" t="inlineStr">
        <x:is>
          <x:t xml:space="preserve">Visningsregel</x:t>
        </x:is>
      </x:c>
      <x:c r="B42" s="60" t="inlineStr">
        <x:is>
          <x:t xml:space="preserve">Betydning</x:t>
        </x:is>
      </x:c>
      <x:c r="C42" s="60" t="n"/>
      <x:c r="D42" s="60" t="n"/>
      <x:c r="E42" s="60" t="n"/>
      <x:c r="F42" s="60" t="n"/>
    </x:row>
    <x:row r="43">
      <x:c r="A43" s="60" t="inlineStr">
        <x:is>
          <x:t xml:space="preserve">Under stævnet</x:t>
        </x:is>
      </x:c>
      <x:c r="B43" s="60" t="inlineStr">
        <x:is>
          <x:t xml:space="preserve">Kun kampens +/- og stævnets akkumulerede +/- vises. Nye kategoripoint/TN holdes tomme.</x:t>
        </x:is>
      </x:c>
      <x:c r="C43" s="60" t="n"/>
      <x:c r="D43" s="60" t="n"/>
      <x:c r="E43" s="60" t="n"/>
      <x:c r="F43" s="60" t="n"/>
    </x:row>
    <x:row r="44">
      <x:c r="A44" s="60" t="inlineStr">
        <x:is>
          <x:t xml:space="preserve">Stævne slut</x:t>
        </x:is>
      </x:c>
      <x:c r="B44" s="60" t="inlineStr">
        <x:is>
          <x:t xml:space="preserve">Nye kategoripoint og vægtet TN vises først på sidste række i stævnet / i opsummeringsboksen.</x:t>
        </x:is>
      </x:c>
      <x:c r="C44" s="60" t="n"/>
      <x:c r="D44" s="60" t="n"/>
      <x:c r="E44" s="60" t="n"/>
      <x:c r="F44" s="60" t="n"/>
    </x:row>
    <x:row r="45">
      <x:c r="A45" s="60" t="n"/>
      <x:c r="B45" s="60" t="n"/>
      <x:c r="C45" s="60" t="n"/>
      <x:c r="D45" s="60" t="n"/>
      <x:c r="E45" s="60" t="n"/>
      <x:c r="F45" s="60" t="n"/>
    </x:row>
    <x:row r="46">
      <x:c r="A46" s="60" t="n"/>
      <x:c r="B46" s="60" t="n"/>
      <x:c r="C46" s="60" t="n"/>
      <x:c r="D46" s="97" t="inlineStr">
        <x:is>
          <x:t xml:space="preserve">Apple/iCloud-version</x:t>
        </x:is>
      </x:c>
      <x:c r="E46" s="97" t="inlineStr">
        <x:is>
          <x:t xml:space="preserve">Kompatibilitet</x:t>
        </x:is>
      </x:c>
      <x:c r="F46" s="60" t="n"/>
    </x:row>
    <x:row r="47">
      <x:c r="A47" s="60" t="n"/>
      <x:c r="B47" s="60" t="n"/>
      <x:c r="C47" s="60" t="n"/>
      <x:c r="D47" s="98" t="inlineStr">
        <x:is>
          <x:t xml:space="preserve">Workbook</x:t>
        </x:is>
      </x:c>
      <x:c r="E47" s="98" t="inlineStr">
        <x:is>
          <x:t xml:space="preserve">Genopbygget som ny XLSX uden gamle Excel extension-records.</x:t>
        </x:is>
      </x:c>
      <x:c r="F47" s="60" t="n"/>
    </x:row>
    <x:row r="48">
      <x:c r="A48" s="60" t="n"/>
      <x:c r="B48" s="60" t="n"/>
      <x:c r="C48" s="60" t="n"/>
      <x:c r="D48" s="98" t="inlineStr">
        <x:is>
          <x:t xml:space="preserve">Bevaret</x:t>
        </x:is>
      </x:c>
      <x:c r="E48" s="98" t="inlineStr">
        <x:is>
          <x:t xml:space="preserve">Data, formler, dropdowns og fryseruder.</x:t>
        </x:is>
      </x:c>
      <x:c r="F48" s="60" t="n"/>
    </x:row>
    <x:row r="49">
      <x:c r="A49" s="60" t="n"/>
      <x:c r="B49" s="60" t="n"/>
      <x:c r="C49" s="60" t="n"/>
      <x:c r="D49" s="98" t="inlineStr">
        <x:is>
          <x:t xml:space="preserve">Fjernet</x:t>
        </x:is>
      </x:c>
      <x:c r="E49" s="98" t="inlineStr">
        <x:is>
          <x:t xml:space="preserve">Udvidet conditional formatting/data bars for maksimal kompatibilitet.</x:t>
        </x:is>
      </x:c>
      <x:c r="F49" s="60" t="n"/>
    </x:row>
    <x:row r="50">
      <x:c r="A50" s="60" t="n"/>
      <x:c r="B50" s="60" t="n"/>
      <x:c r="C50" s="60" t="n"/>
      <x:c r="D50" s="60" t="n"/>
      <x:c r="E50" s="60" t="n"/>
      <x:c r="F50" s="60" t="n"/>
    </x:row>
    <x:row r="51">
      <x:c r="A51" s="60" t="n"/>
      <x:c r="B51" s="60" t="n"/>
      <x:c r="C51" s="60" t="n"/>
      <x:c r="D51" s="245" t="str">
        <x:v>Forside-estimat</x:v>
      </x:c>
      <x:c r="E51" s="245" t="str">
        <x:v>Definition</x:v>
      </x:c>
      <x:c r="F51" s="60" t="n"/>
    </x:row>
    <x:row r="52">
      <x:c r="A52" s="60" t="n"/>
      <x:c r="B52" s="60" t="n"/>
      <x:c r="C52" s="60" t="n"/>
      <x:c r="D52" s="220" t="str">
        <x:v>Est. sejre til M</x:v>
      </x:c>
      <x:c r="E52" s="220" t="str">
        <x:v>Resterende TN / historisk netto TN-fremgang pr. sejr siden Fyn.</x:v>
      </x:c>
      <x:c r="F52" s="60" t="n"/>
    </x:row>
    <x:row r="53">
      <x:c r="A53" s="60" t="n"/>
      <x:c r="B53" s="60" t="n"/>
      <x:c r="C53" s="60" t="n"/>
      <x:c r="D53" s="220" t="str">
        <x:v>Est. kampe til M</x:v>
      </x:c>
      <x:c r="E53" s="220" t="str">
        <x:v>Estimerede sejre divideret med den aktuelle sejrsrate.</x:v>
      </x:c>
      <x:c r="F53" s="60" t="n"/>
    </x:row>
    <x:row r="54">
      <x:c r="A54" s="60" t="n"/>
      <x:c r="B54" s="60" t="n"/>
      <x:c r="C54" s="60" t="n"/>
      <x:c r="D54" s="220" t="str">
        <x:v>Bemærkning</x:v>
      </x:c>
      <x:c r="E54" s="220" t="str">
        <x:v>Retningsgivende estimat. Modstanderniveau og disciplinmix kan ændre den faktiske vej til 1850.</x:v>
      </x:c>
      <x:c r="F54" s="60" t="n"/>
    </x:row>
    <x:row r="55">
      <x:c r="A55" s="60" t="n"/>
      <x:c r="B55" s="60" t="n"/>
      <x:c r="C55" s="60" t="n"/>
      <x:c r="D55" s="60" t="n"/>
      <x:c r="E55" s="60" t="n"/>
      <x:c r="F55" s="60" t="n"/>
    </x:row>
    <x:row r="56">
      <x:c r="A56" s="60" t="n"/>
      <x:c r="B56" s="60" t="n"/>
      <x:c r="C56" s="60" t="n"/>
      <x:c r="D56" s="262" t="str">
        <x:v>Repareret kæde</x:v>
      </x:c>
      <x:c r="E56" s="262" t="str">
        <x:v>Løsning</x:v>
      </x:c>
      <x:c r="F56" s="60" t="n"/>
    </x:row>
    <x:row r="57">
      <x:c r="A57" s="60" t="n"/>
      <x:c r="B57" s="60" t="n"/>
      <x:c r="C57" s="60" t="n"/>
      <x:c r="D57" s="220" t="str">
        <x:v>Forside</x:v>
      </x:c>
      <x:c r="E57" s="220" t="str">
        <x:v>Fragile LOOKUP/INDEX-kæder erstattet af simple VLOOKUP/SUMIFS/COUNTIFS-hjælpere.</x:v>
      </x:c>
      <x:c r="F57" s="60" t="n"/>
    </x:row>
    <x:row r="58">
      <x:c r="A58" s="60" t="n"/>
      <x:c r="B58" s="60" t="n"/>
      <x:c r="C58" s="60" t="n"/>
      <x:c r="D58" s="220" t="str">
        <x:v>Turneringsoversigt</x:v>
      </x:c>
      <x:c r="E58" s="220" t="str">
        <x:v>Genbygget fra stævne-ID med simple kumulative formler.</x:v>
      </x:c>
      <x:c r="F58" s="60" t="n"/>
    </x:row>
    <x:row r="59">
      <x:c r="A59" s="60" t="n"/>
      <x:c r="B59" s="60" t="n"/>
      <x:c r="C59" s="60" t="n"/>
      <x:c r="D59" s="220" t="str">
        <x:v>Planlagt</x:v>
      </x:c>
      <x:c r="E59" s="220" t="str">
        <x:v>Ny resultatstatus. Tæller ikke som spillet kamp og påvirker ikke point/TN.</x:v>
      </x:c>
      <x:c r="F59" s="60" t="n"/>
    </x:row>
    <x:row r="60">
      <x:c r="A60" s="60" t="n"/>
      <x:c r="B60" s="60" t="n"/>
      <x:c r="C60" s="60" t="n"/>
      <x:c r="D60" s="220" t="str">
        <x:v>Herlev/Hjorten</x:v>
      </x:c>
      <x:c r="E60" s="220" t="str">
        <x:v>3 planlagte doublekampe fra brugerens seneste ODS er bevaret.</x:v>
      </x:c>
      <x:c r="F60" s="60" t="n"/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8" defaultRowHeight="15"/>
  <x:sheetData>
    <x:row r="1">
      <x:c r="A1" s="123" t="inlineStr">
        <x:is>
          <x:t xml:space="preserve">Validering – Forenia Weighted Level v1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</x:row>
    <x:row r="2">
      <x:c r="A2" s="60" t="n"/>
      <x:c r="B2" s="60" t="n"/>
      <x:c r="C2" s="60" t="n"/>
      <x:c r="D2" s="60" t="n"/>
      <x:c r="E2" s="60" t="n"/>
      <x:c r="F2" s="60" t="n"/>
      <x:c r="G2" s="60" t="n"/>
      <x:c r="H2" s="60" t="n"/>
      <x:c r="I2" s="60" t="n"/>
      <x:c r="J2" s="60" t="n"/>
      <x:c r="K2" s="60" t="n"/>
      <x:c r="L2" s="60" t="n"/>
      <x:c r="M2" s="60" t="n"/>
      <x:c r="N2" s="60" t="n"/>
      <x:c r="O2" s="60" t="n"/>
      <x:c r="P2" s="60" t="n"/>
      <x:c r="Q2" s="60" t="n"/>
      <x:c r="R2" s="60" t="n"/>
    </x:row>
    <x:row r="3">
      <x:c r="A3" s="60" t="inlineStr">
        <x:is>
          <x:t xml:space="preserve">Spiller</x:t>
        </x:is>
      </x:c>
      <x:c r="B3" s="60" t="inlineStr">
        <x:is>
          <x:t xml:space="preserve">Officielt TN</x:t>
        </x:is>
      </x:c>
      <x:c r="C3" s="60" t="inlineStr">
        <x:is>
          <x:t xml:space="preserve">S point</x:t>
        </x:is>
      </x:c>
      <x:c r="D3" s="60" t="inlineStr">
        <x:is>
          <x:t xml:space="preserve">S kampe</x:t>
        </x:is>
      </x:c>
      <x:c r="E3" s="60" t="inlineStr">
        <x:is>
          <x:t xml:space="preserve">D point</x:t>
        </x:is>
      </x:c>
      <x:c r="F3" s="60" t="inlineStr">
        <x:is>
          <x:t xml:space="preserve">D kampe</x:t>
        </x:is>
      </x:c>
      <x:c r="G3" s="60" t="inlineStr">
        <x:is>
          <x:t xml:space="preserve">M point</x:t>
        </x:is>
      </x:c>
      <x:c r="H3" s="60" t="inlineStr">
        <x:is>
          <x:t xml:space="preserve">M kampe</x:t>
        </x:is>
      </x:c>
      <x:c r="I3" s="60" t="inlineStr">
        <x:is>
          <x:t xml:space="preserve">Aktive</x:t>
        </x:is>
      </x:c>
      <x:c r="J3" s="60" t="inlineStr">
        <x:is>
          <x:t xml:space="preserve">Grundgns.</x:t>
        </x:is>
      </x:c>
      <x:c r="K3" s="60" t="inlineStr">
        <x:is>
          <x:t xml:space="preserve">Bedst</x:t>
        </x:is>
      </x:c>
      <x:c r="L3" s="60" t="inlineStr">
        <x:is>
          <x:t xml:space="preserve">Nr2</x:t>
        </x:is>
      </x:c>
      <x:c r="M3" s="60" t="inlineStr">
        <x:is>
          <x:t xml:space="preserve">Gap</x:t>
        </x:is>
      </x:c>
      <x:c r="N3" s="60" t="inlineStr">
        <x:is>
          <x:t xml:space="preserve">Bonus</x:t>
        </x:is>
      </x:c>
      <x:c r="O3" s="60" t="inlineStr">
        <x:is>
          <x:t xml:space="preserve">Raw TN</x:t>
        </x:is>
      </x:c>
      <x:c r="P3" s="60" t="inlineStr">
        <x:is>
          <x:t xml:space="preserve">Beregnet</x:t>
        </x:is>
      </x:c>
      <x:c r="Q3" s="60" t="inlineStr">
        <x:is>
          <x:t xml:space="preserve">Afvigelse</x:t>
        </x:is>
      </x:c>
      <x:c r="R3" s="60" t="inlineStr">
        <x:is>
          <x:t xml:space="preserve">Status</x:t>
        </x:is>
      </x:c>
    </x:row>
    <x:row r="4">
      <x:c r="A4" s="60" t="inlineStr">
        <x:is>
          <x:t xml:space="preserve">Matti</x:t>
        </x:is>
      </x:c>
      <x:c r="B4" s="60" t="n">
        <x:v>1655</x:v>
      </x:c>
      <x:c r="C4" s="60" t="n">
        <x:v>1702</x:v>
      </x:c>
      <x:c r="D4" s="60" t="n">
        <x:v>43</x:v>
      </x:c>
      <x:c r="E4" s="60" t="n">
        <x:v>1587</x:v>
      </x:c>
      <x:c r="F4" s="60" t="n">
        <x:v>37</x:v>
      </x:c>
      <x:c r="G4" s="60" t="n">
        <x:v>1386</x:v>
      </x:c>
      <x:c r="H4" s="60" t="n">
        <x:v>5</x:v>
      </x:c>
      <x:c r="I4" s="60" t="n">
        <x:f>IF(D4&gt;0,1,0)+IF(F4&gt;0,1,0)+IF(H4&gt;0,1,0)</x:f>
        <x:v>3</x:v>
      </x:c>
      <x:c r="J4" s="60" t="n">
        <x:f>(C4*D4+E4*F4+G4*H4)/(D4+F4+H4)</x:f>
        <x:v>1633.3529411764705</x:v>
      </x:c>
      <x:c r="K4" s="60" t="n">
        <x:f>MAX(C4,E4,G4)</x:f>
        <x:v>1702</x:v>
      </x:c>
      <x:c r="L4" s="60" t="n">
        <x:f>C4+E4+G4-MAX(C4,E4,G4)-MIN(C4,E4,G4)</x:f>
        <x:v>1587</x:v>
      </x:c>
      <x:c r="M4" s="60" t="n">
        <x:f>K4-L4</x:f>
        <x:v>115</x:v>
      </x:c>
      <x:c r="N4" s="60" t="n">
        <x:f>IF(M4&lt;'Model &amp; indstillinger'!$E$16,'Model &amp; indstillinger'!$E$18,IF(AND(I4=2,M4&lt;'Model &amp; indstillinger'!$E$17),'Model &amp; indstillinger'!$E$19,'Model &amp; indstillinger'!$E$20))</x:f>
        <x:v>0.321</x:v>
      </x:c>
      <x:c r="O4" s="60" t="n">
        <x:f>J4+N4*(K4-J4)</x:f>
        <x:v>1655.3886470588234</x:v>
      </x:c>
      <x:c r="P4" s="60" t="n">
        <x:f>ROUND(O4,0)</x:f>
        <x:v>1655</x:v>
      </x:c>
      <x:c r="Q4" s="60" t="n">
        <x:f>P4-B4</x:f>
        <x:v>0</x:v>
      </x:c>
      <x:c r="R4" s="60" t="str">
        <x:f>IF(ABS(Q4)&lt;=1,"OK","CHECK")</x:f>
        <x:v>OK</x:v>
      </x:c>
    </x:row>
    <x:row r="5">
      <x:c r="A5" s="60" t="inlineStr">
        <x:is>
          <x:t xml:space="preserve">Frederik</x:t>
        </x:is>
      </x:c>
      <x:c r="B5" s="60" t="n">
        <x:v>2246</x:v>
      </x:c>
      <x:c r="C5" s="60" t="n">
        <x:v>2258</x:v>
      </x:c>
      <x:c r="D5" s="60" t="n">
        <x:v>14</x:v>
      </x:c>
      <x:c r="E5" s="60" t="n">
        <x:v>2225</x:v>
      </x:c>
      <x:c r="F5" s="60" t="n">
        <x:v>14</x:v>
      </x:c>
      <x:c r="G5" s="60" t="n">
        <x:v>0</x:v>
      </x:c>
      <x:c r="H5" s="60" t="n">
        <x:v>0</x:v>
      </x:c>
      <x:c r="I5" s="60" t="n">
        <x:f>IF(D5&gt;0,1,0)+IF(F5&gt;0,1,0)+IF(H5&gt;0,1,0)</x:f>
        <x:v>2</x:v>
      </x:c>
      <x:c r="J5" s="60" t="n">
        <x:f>(C5*D5+E5*F5+G5*H5)/(D5+F5+H5)</x:f>
        <x:v>2241.5</x:v>
      </x:c>
      <x:c r="K5" s="60" t="n">
        <x:f>MAX(C5,E5,G5)</x:f>
        <x:v>2258</x:v>
      </x:c>
      <x:c r="L5" s="60" t="n">
        <x:f>C5+E5+G5-MAX(C5,E5,G5)-MIN(C5,E5,G5)</x:f>
        <x:v>2225</x:v>
      </x:c>
      <x:c r="M5" s="60" t="n">
        <x:f>K5-L5</x:f>
        <x:v>33</x:v>
      </x:c>
      <x:c r="N5" s="60" t="n">
        <x:f>IF(M5&lt;'Model &amp; indstillinger'!$E$16,'Model &amp; indstillinger'!$E$18,IF(AND(I5=2,M5&lt;'Model &amp; indstillinger'!$E$17),'Model &amp; indstillinger'!$E$19,'Model &amp; indstillinger'!$E$20))</x:f>
        <x:v>0.27</x:v>
      </x:c>
      <x:c r="O5" s="60" t="n">
        <x:f>J5+N5*(K5-J5)</x:f>
        <x:v>2245.955</x:v>
      </x:c>
      <x:c r="P5" s="60" t="n">
        <x:f>ROUND(O5,0)</x:f>
        <x:v>2246</x:v>
      </x:c>
      <x:c r="Q5" s="60" t="n">
        <x:f>P5-B5</x:f>
        <x:v>0</x:v>
      </x:c>
      <x:c r="R5" s="60" t="str">
        <x:f>IF(ABS(Q5)&lt;=1,"OK","CHECK")</x:f>
        <x:v>OK</x:v>
      </x:c>
    </x:row>
    <x:row r="6">
      <x:c r="A6" s="60" t="inlineStr">
        <x:is>
          <x:t xml:space="preserve">Malthe</x:t>
        </x:is>
      </x:c>
      <x:c r="B6" s="60" t="n">
        <x:v>1609</x:v>
      </x:c>
      <x:c r="C6" s="60" t="n">
        <x:v>1557</x:v>
      </x:c>
      <x:c r="D6" s="60" t="n">
        <x:v>14</x:v>
      </x:c>
      <x:c r="E6" s="60" t="n">
        <x:v>1626</x:v>
      </x:c>
      <x:c r="F6" s="60" t="n">
        <x:v>24</x:v>
      </x:c>
      <x:c r="G6" s="60" t="n">
        <x:v>1620</x:v>
      </x:c>
      <x:c r="H6" s="60" t="n">
        <x:v>5</x:v>
      </x:c>
      <x:c r="I6" s="60" t="n">
        <x:f>IF(D6&gt;0,1,0)+IF(F6&gt;0,1,0)+IF(H6&gt;0,1,0)</x:f>
        <x:v>3</x:v>
      </x:c>
      <x:c r="J6" s="60" t="n">
        <x:f>(C6*D6+E6*F6+G6*H6)/(D6+F6+H6)</x:f>
        <x:v>1602.8372093023256</x:v>
      </x:c>
      <x:c r="K6" s="60" t="n">
        <x:f>MAX(C6,E6,G6)</x:f>
        <x:v>1626</x:v>
      </x:c>
      <x:c r="L6" s="60" t="n">
        <x:f>C6+E6+G6-MAX(C6,E6,G6)-MIN(C6,E6,G6)</x:f>
        <x:v>1620</x:v>
      </x:c>
      <x:c r="M6" s="60" t="n">
        <x:f>K6-L6</x:f>
        <x:v>6</x:v>
      </x:c>
      <x:c r="N6" s="60" t="n">
        <x:f>IF(M6&lt;'Model &amp; indstillinger'!$E$16,'Model &amp; indstillinger'!$E$18,IF(AND(I6=2,M6&lt;'Model &amp; indstillinger'!$E$17),'Model &amp; indstillinger'!$E$19,'Model &amp; indstillinger'!$E$20))</x:f>
        <x:v>0.27</x:v>
      </x:c>
      <x:c r="O6" s="60" t="n">
        <x:f>J6+N6*(K6-J6)</x:f>
        <x:v>1609.0911627906978</x:v>
      </x:c>
      <x:c r="P6" s="60" t="n">
        <x:f>ROUND(O6,0)</x:f>
        <x:v>1609</x:v>
      </x:c>
      <x:c r="Q6" s="60" t="n">
        <x:f>P6-B6</x:f>
        <x:v>0</x:v>
      </x:c>
      <x:c r="R6" s="60" t="str">
        <x:f>IF(ABS(Q6)&lt;=1,"OK","CHECK")</x:f>
        <x:v>OK</x:v>
      </x:c>
    </x:row>
    <x:row r="7">
      <x:c r="A7" s="60" t="inlineStr">
        <x:is>
          <x:t xml:space="preserve">Mads Emil</x:t>
        </x:is>
      </x:c>
      <x:c r="B7" s="60" t="n">
        <x:v>1774</x:v>
      </x:c>
      <x:c r="C7" s="60" t="n">
        <x:v>1864</x:v>
      </x:c>
      <x:c r="D7" s="60" t="n">
        <x:v>70</x:v>
      </x:c>
      <x:c r="E7" s="60" t="n">
        <x:v>1661</x:v>
      </x:c>
      <x:c r="F7" s="60" t="n">
        <x:v>52</x:v>
      </x:c>
      <x:c r="G7" s="60" t="n">
        <x:v>1490</x:v>
      </x:c>
      <x:c r="H7" s="60" t="n">
        <x:v>23</x:v>
      </x:c>
      <x:c r="I7" s="60" t="n">
        <x:f>IF(D7&gt;0,1,0)+IF(F7&gt;0,1,0)+IF(H7&gt;0,1,0)</x:f>
        <x:v>3</x:v>
      </x:c>
      <x:c r="J7" s="60" t="n">
        <x:f>(C7*D7+E7*F7+G7*H7)/(D7+F7+H7)</x:f>
        <x:v>1731.8758620689655</x:v>
      </x:c>
      <x:c r="K7" s="60" t="n">
        <x:f>MAX(C7,E7,G7)</x:f>
        <x:v>1864</x:v>
      </x:c>
      <x:c r="L7" s="60" t="n">
        <x:f>C7+E7+G7-MAX(C7,E7,G7)-MIN(C7,E7,G7)</x:f>
        <x:v>1661</x:v>
      </x:c>
      <x:c r="M7" s="60" t="n">
        <x:f>K7-L7</x:f>
        <x:v>203</x:v>
      </x:c>
      <x:c r="N7" s="60" t="n">
        <x:f>IF(M7&lt;'Model &amp; indstillinger'!$E$16,'Model &amp; indstillinger'!$E$18,IF(AND(I7=2,M7&lt;'Model &amp; indstillinger'!$E$17),'Model &amp; indstillinger'!$E$19,'Model &amp; indstillinger'!$E$20))</x:f>
        <x:v>0.321</x:v>
      </x:c>
      <x:c r="O7" s="60" t="n">
        <x:f>J7+N7*(K7-J7)</x:f>
        <x:v>1774.2877103448275</x:v>
      </x:c>
      <x:c r="P7" s="60" t="n">
        <x:f>ROUND(O7,0)</x:f>
        <x:v>1774</x:v>
      </x:c>
      <x:c r="Q7" s="60" t="n">
        <x:f>P7-B7</x:f>
        <x:v>0</x:v>
      </x:c>
      <x:c r="R7" s="60" t="str">
        <x:f>IF(ABS(Q7)&lt;=1,"OK","CHECK")</x:f>
        <x:v>OK</x:v>
      </x:c>
    </x:row>
    <x:row r="8">
      <x:c r="A8" s="60" t="inlineStr">
        <x:is>
          <x:t xml:space="preserve">Bill</x:t>
        </x:is>
      </x:c>
      <x:c r="B8" s="60" t="n">
        <x:v>1528</x:v>
      </x:c>
      <x:c r="C8" s="60" t="n">
        <x:v>1510</x:v>
      </x:c>
      <x:c r="D8" s="60" t="n">
        <x:v>27</x:v>
      </x:c>
      <x:c r="E8" s="60" t="n">
        <x:v>1539</x:v>
      </x:c>
      <x:c r="F8" s="60" t="n">
        <x:v>25</x:v>
      </x:c>
      <x:c r="G8" s="60" t="n">
        <x:v>0</x:v>
      </x:c>
      <x:c r="H8" s="60" t="n">
        <x:v>0</x:v>
      </x:c>
      <x:c r="I8" s="60" t="n">
        <x:f>IF(D8&gt;0,1,0)+IF(F8&gt;0,1,0)+IF(H8&gt;0,1,0)</x:f>
        <x:v>2</x:v>
      </x:c>
      <x:c r="J8" s="60" t="n">
        <x:f>(C8*D8+E8*F8+G8*H8)/(D8+F8+H8)</x:f>
        <x:v>1523.9423076923076</x:v>
      </x:c>
      <x:c r="K8" s="60" t="n">
        <x:f>MAX(C8,E8,G8)</x:f>
        <x:v>1539</x:v>
      </x:c>
      <x:c r="L8" s="60" t="n">
        <x:f>C8+E8+G8-MAX(C8,E8,G8)-MIN(C8,E8,G8)</x:f>
        <x:v>1510</x:v>
      </x:c>
      <x:c r="M8" s="60" t="n">
        <x:f>K8-L8</x:f>
        <x:v>29</x:v>
      </x:c>
      <x:c r="N8" s="60" t="n">
        <x:f>IF(M8&lt;'Model &amp; indstillinger'!$E$16,'Model &amp; indstillinger'!$E$18,IF(AND(I8=2,M8&lt;'Model &amp; indstillinger'!$E$17),'Model &amp; indstillinger'!$E$19,'Model &amp; indstillinger'!$E$20))</x:f>
        <x:v>0.27</x:v>
      </x:c>
      <x:c r="O8" s="60" t="n">
        <x:f>J8+N8*(K8-J8)</x:f>
        <x:v>1528.0078846153845</x:v>
      </x:c>
      <x:c r="P8" s="60" t="n">
        <x:f>ROUND(O8,0)</x:f>
        <x:v>1528</x:v>
      </x:c>
      <x:c r="Q8" s="60" t="n">
        <x:f>P8-B8</x:f>
        <x:v>0</x:v>
      </x:c>
      <x:c r="R8" s="60" t="str">
        <x:f>IF(ABS(Q8)&lt;=1,"OK","CHECK")</x:f>
        <x:v>OK</x:v>
      </x:c>
    </x:row>
    <x:row r="9">
      <x:c r="A9" s="60" t="inlineStr">
        <x:is>
          <x:t xml:space="preserve">Leander</x:t>
        </x:is>
      </x:c>
      <x:c r="B9" s="60" t="n">
        <x:v>1546</x:v>
      </x:c>
      <x:c r="C9" s="60" t="n">
        <x:v>1595</x:v>
      </x:c>
      <x:c r="D9" s="60" t="n">
        <x:v>41</x:v>
      </x:c>
      <x:c r="E9" s="60" t="n">
        <x:v>1427</x:v>
      </x:c>
      <x:c r="F9" s="60" t="n">
        <x:v>31</x:v>
      </x:c>
      <x:c r="G9" s="60" t="n">
        <x:v>0</x:v>
      </x:c>
      <x:c r="H9" s="60" t="n">
        <x:v>0</x:v>
      </x:c>
      <x:c r="I9" s="60" t="n">
        <x:f>IF(D9&gt;0,1,0)+IF(F9&gt;0,1,0)+IF(H9&gt;0,1,0)</x:f>
        <x:v>2</x:v>
      </x:c>
      <x:c r="J9" s="60" t="n">
        <x:f>(C9*D9+E9*F9+G9*H9)/(D9+F9+H9)</x:f>
        <x:v>1522.6666666666667</x:v>
      </x:c>
      <x:c r="K9" s="60" t="n">
        <x:f>MAX(C9,E9,G9)</x:f>
        <x:v>1595</x:v>
      </x:c>
      <x:c r="L9" s="60" t="n">
        <x:f>C9+E9+G9-MAX(C9,E9,G9)-MIN(C9,E9,G9)</x:f>
        <x:v>1427</x:v>
      </x:c>
      <x:c r="M9" s="60" t="n">
        <x:f>K9-L9</x:f>
        <x:v>168</x:v>
      </x:c>
      <x:c r="N9" s="60" t="n">
        <x:f>IF(M9&lt;'Model &amp; indstillinger'!$E$16,'Model &amp; indstillinger'!$E$18,IF(AND(I9=2,M9&lt;'Model &amp; indstillinger'!$E$17),'Model &amp; indstillinger'!$E$19,'Model &amp; indstillinger'!$E$20))</x:f>
        <x:v>0.321</x:v>
      </x:c>
      <x:c r="O9" s="60" t="n">
        <x:f>J9+N9*(K9-J9)</x:f>
        <x:v>1545.8856666666668</x:v>
      </x:c>
      <x:c r="P9" s="60" t="n">
        <x:f>ROUND(O9,0)</x:f>
        <x:v>1546</x:v>
      </x:c>
      <x:c r="Q9" s="60" t="n">
        <x:f>P9-B9</x:f>
        <x:v>0</x:v>
      </x:c>
      <x:c r="R9" s="60" t="str">
        <x:f>IF(ABS(Q9)&lt;=1,"OK","CHECK")</x:f>
        <x:v>OK</x:v>
      </x:c>
    </x:row>
    <x:row r="10">
      <x:c r="A10" s="60" t="inlineStr">
        <x:is>
          <x:t xml:space="preserve">Random U17 B</x:t>
        </x:is>
      </x:c>
      <x:c r="B10" s="60" t="n">
        <x:v>1416</x:v>
      </x:c>
      <x:c r="C10" s="60" t="n">
        <x:v>1462</x:v>
      </x:c>
      <x:c r="D10" s="60" t="n">
        <x:v>54</x:v>
      </x:c>
      <x:c r="E10" s="60" t="n">
        <x:v>1322</x:v>
      </x:c>
      <x:c r="F10" s="60" t="n">
        <x:v>17</x:v>
      </x:c>
      <x:c r="G10" s="60" t="n">
        <x:v>1266</x:v>
      </x:c>
      <x:c r="H10" s="60" t="n">
        <x:v>19</x:v>
      </x:c>
      <x:c r="I10" s="60" t="n">
        <x:f>IF(D10&gt;0,1,0)+IF(F10&gt;0,1,0)+IF(H10&gt;0,1,0)</x:f>
        <x:v>3</x:v>
      </x:c>
      <x:c r="J10" s="60" t="n">
        <x:f>(C10*D10+E10*F10+G10*H10)/(D10+F10+H10)</x:f>
        <x:v>1394.1777777777777</x:v>
      </x:c>
      <x:c r="K10" s="60" t="n">
        <x:f>MAX(C10,E10,G10)</x:f>
        <x:v>1462</x:v>
      </x:c>
      <x:c r="L10" s="60" t="n">
        <x:f>C10+E10+G10-MAX(C10,E10,G10)-MIN(C10,E10,G10)</x:f>
        <x:v>1322</x:v>
      </x:c>
      <x:c r="M10" s="60" t="n">
        <x:f>K10-L10</x:f>
        <x:v>140</x:v>
      </x:c>
      <x:c r="N10" s="60" t="n">
        <x:f>IF(M10&lt;'Model &amp; indstillinger'!$E$16,'Model &amp; indstillinger'!$E$18,IF(AND(I10=2,M10&lt;'Model &amp; indstillinger'!$E$17),'Model &amp; indstillinger'!$E$19,'Model &amp; indstillinger'!$E$20))</x:f>
        <x:v>0.321</x:v>
      </x:c>
      <x:c r="O10" s="60" t="n">
        <x:f>J10+N10*(K10-J10)</x:f>
        <x:v>1415.9487111111112</x:v>
      </x:c>
      <x:c r="P10" s="60" t="n">
        <x:f>ROUND(O10,0)</x:f>
        <x:v>1416</x:v>
      </x:c>
      <x:c r="Q10" s="60" t="n">
        <x:f>P10-B10</x:f>
        <x:v>0</x:v>
      </x:c>
      <x:c r="R10" s="60" t="str">
        <x:f>IF(ABS(Q10)&lt;=1,"OK","CHECK")</x:f>
        <x:v>OK</x:v>
      </x:c>
    </x:row>
    <x:row r="11">
      <x:c r="A11" s="60" t="inlineStr">
        <x:is>
          <x:t xml:space="preserve">Blindtest U15 A</x:t>
        </x:is>
      </x:c>
      <x:c r="B11" s="60" t="n">
        <x:v>1758</x:v>
      </x:c>
      <x:c r="C11" s="60" t="n">
        <x:v>1832</x:v>
      </x:c>
      <x:c r="D11" s="60" t="n">
        <x:v>39</x:v>
      </x:c>
      <x:c r="E11" s="60" t="n">
        <x:v>1724</x:v>
      </x:c>
      <x:c r="F11" s="60" t="n">
        <x:v>27</x:v>
      </x:c>
      <x:c r="G11" s="60" t="n">
        <x:v>1509</x:v>
      </x:c>
      <x:c r="H11" s="60" t="n">
        <x:v>20</x:v>
      </x:c>
      <x:c r="I11" s="60" t="n">
        <x:f>IF(D11&gt;0,1,0)+IF(F11&gt;0,1,0)+IF(H11&gt;0,1,0)</x:f>
        <x:v>3</x:v>
      </x:c>
      <x:c r="J11" s="60" t="n">
        <x:f>(C11*D11+E11*F11+G11*H11)/(D11+F11+H11)</x:f>
        <x:v>1722.9767441860465</x:v>
      </x:c>
      <x:c r="K11" s="60" t="n">
        <x:f>MAX(C11,E11,G11)</x:f>
        <x:v>1832</x:v>
      </x:c>
      <x:c r="L11" s="60" t="n">
        <x:f>C11+E11+G11-MAX(C11,E11,G11)-MIN(C11,E11,G11)</x:f>
        <x:v>1724</x:v>
      </x:c>
      <x:c r="M11" s="60" t="n">
        <x:f>K11-L11</x:f>
        <x:v>108</x:v>
      </x:c>
      <x:c r="N11" s="60" t="n">
        <x:f>IF(M11&lt;'Model &amp; indstillinger'!$E$16,'Model &amp; indstillinger'!$E$18,IF(AND(I11=2,M11&lt;'Model &amp; indstillinger'!$E$17),'Model &amp; indstillinger'!$E$19,'Model &amp; indstillinger'!$E$20))</x:f>
        <x:v>0.321</x:v>
      </x:c>
      <x:c r="O11" s="60" t="n">
        <x:f>J11+N11*(K11-J11)</x:f>
        <x:v>1757.9732093023256</x:v>
      </x:c>
      <x:c r="P11" s="60" t="n">
        <x:f>ROUND(O11,0)</x:f>
        <x:v>1758</x:v>
      </x:c>
      <x:c r="Q11" s="60" t="n">
        <x:f>P11-B11</x:f>
        <x:v>0</x:v>
      </x:c>
      <x:c r="R11" s="60" t="str">
        <x:f>IF(ABS(Q11)&lt;=1,"OK","CHECK")</x:f>
        <x:v>OK</x:v>
      </x:c>
    </x:row>
    <x:row r="12">
      <x:c r="A12" s="60" t="inlineStr">
        <x:is>
          <x:t xml:space="preserve">Blindtest U17 B</x:t>
        </x:is>
      </x:c>
      <x:c r="B12" s="60" t="n">
        <x:v>1636</x:v>
      </x:c>
      <x:c r="C12" s="60" t="n">
        <x:v>1668</x:v>
      </x:c>
      <x:c r="D12" s="60" t="n">
        <x:v>45</x:v>
      </x:c>
      <x:c r="E12" s="60" t="n">
        <x:v>1564</x:v>
      </x:c>
      <x:c r="F12" s="60" t="n">
        <x:v>36</x:v>
      </x:c>
      <x:c r="G12" s="60" t="n">
        <x:v>0</x:v>
      </x:c>
      <x:c r="H12" s="60" t="n">
        <x:v>0</x:v>
      </x:c>
      <x:c r="I12" s="60" t="n">
        <x:f>IF(D12&gt;0,1,0)+IF(F12&gt;0,1,0)+IF(H12&gt;0,1,0)</x:f>
        <x:v>2</x:v>
      </x:c>
      <x:c r="J12" s="60" t="n">
        <x:f>(C12*D12+E12*F12+G12*H12)/(D12+F12+H12)</x:f>
        <x:v>1621.7777777777778</x:v>
      </x:c>
      <x:c r="K12" s="60" t="n">
        <x:f>MAX(C12,E12,G12)</x:f>
        <x:v>1668</x:v>
      </x:c>
      <x:c r="L12" s="60" t="n">
        <x:f>C12+E12+G12-MAX(C12,E12,G12)-MIN(C12,E12,G12)</x:f>
        <x:v>1564</x:v>
      </x:c>
      <x:c r="M12" s="60" t="n">
        <x:f>K12-L12</x:f>
        <x:v>104</x:v>
      </x:c>
      <x:c r="N12" s="60" t="n">
        <x:f>IF(M12&lt;'Model &amp; indstillinger'!$E$16,'Model &amp; indstillinger'!$E$18,IF(AND(I12=2,M12&lt;'Model &amp; indstillinger'!$E$17),'Model &amp; indstillinger'!$E$19,'Model &amp; indstillinger'!$E$20))</x:f>
        <x:v>0.31</x:v>
      </x:c>
      <x:c r="O12" s="60" t="n">
        <x:f>J12+N12*(K12-J12)</x:f>
        <x:v>1636.1066666666668</x:v>
      </x:c>
      <x:c r="P12" s="60" t="n">
        <x:f>ROUND(O12,0)</x:f>
        <x:v>1636</x:v>
      </x:c>
      <x:c r="Q12" s="60" t="n">
        <x:f>P12-B12</x:f>
        <x:v>0</x:v>
      </x:c>
      <x:c r="R12" s="60" t="str">
        <x:f>IF(ABS(Q12)&lt;=1,"OK","CHECK")</x:f>
        <x:v>OK</x:v>
      </x:c>
    </x:row>
    <x:row r="13">
      <x:c r="A13" s="60" t="inlineStr">
        <x:is>
          <x:t xml:space="preserve">Milo Bastegaard</x:t>
        </x:is>
      </x:c>
      <x:c r="B13" s="60" t="n">
        <x:v>1677</x:v>
      </x:c>
      <x:c r="C13" s="60" t="n">
        <x:v>1787</x:v>
      </x:c>
      <x:c r="D13" s="60" t="n">
        <x:v>35</x:v>
      </x:c>
      <x:c r="E13" s="60" t="n">
        <x:v>1528</x:v>
      </x:c>
      <x:c r="F13" s="60" t="n">
        <x:v>28</x:v>
      </x:c>
      <x:c r="G13" s="60" t="n">
        <x:v>1325</x:v>
      </x:c>
      <x:c r="H13" s="60" t="n">
        <x:v>10</x:v>
      </x:c>
      <x:c r="I13" s="60" t="n">
        <x:f>IF(D13&gt;0,1,0)+IF(F13&gt;0,1,0)+IF(H13&gt;0,1,0)</x:f>
        <x:v>3</x:v>
      </x:c>
      <x:c r="J13" s="60" t="n">
        <x:f>(C13*D13+E13*F13+G13*H13)/(D13+F13+H13)</x:f>
        <x:v>1624.3698630136987</x:v>
      </x:c>
      <x:c r="K13" s="60" t="n">
        <x:f>MAX(C13,E13,G13)</x:f>
        <x:v>1787</x:v>
      </x:c>
      <x:c r="L13" s="60" t="n">
        <x:f>C13+E13+G13-MAX(C13,E13,G13)-MIN(C13,E13,G13)</x:f>
        <x:v>1528</x:v>
      </x:c>
      <x:c r="M13" s="60" t="n">
        <x:f>K13-L13</x:f>
        <x:v>259</x:v>
      </x:c>
      <x:c r="N13" s="60" t="n">
        <x:f>IF(M13&lt;'Model &amp; indstillinger'!$E$16,'Model &amp; indstillinger'!$E$18,IF(AND(I13=2,M13&lt;'Model &amp; indstillinger'!$E$17),'Model &amp; indstillinger'!$E$19,'Model &amp; indstillinger'!$E$20))</x:f>
        <x:v>0.321</x:v>
      </x:c>
      <x:c r="O13" s="60" t="n">
        <x:f>J13+N13*(K13-J13)</x:f>
        <x:v>1676.5741369863015</x:v>
      </x:c>
      <x:c r="P13" s="60" t="n">
        <x:f>ROUND(O13,0)</x:f>
        <x:v>1677</x:v>
      </x:c>
      <x:c r="Q13" s="60" t="n">
        <x:f>P13-B13</x:f>
        <x:v>0</x:v>
      </x:c>
      <x:c r="R13" s="60" t="str">
        <x:f>IF(ABS(Q13)&lt;=1,"OK","CHECK")</x:f>
        <x:v>OK</x:v>
      </x:c>
    </x:row>
    <x:row r="14">
      <x:c r="A14" s="60" t="inlineStr">
        <x:is>
          <x:t xml:space="preserve">Marius Steenstrup Leth-Espensen</x:t>
        </x:is>
      </x:c>
      <x:c r="B14" s="60" t="n">
        <x:v>1909</x:v>
      </x:c>
      <x:c r="C14" s="60" t="n">
        <x:v>2037</x:v>
      </x:c>
      <x:c r="D14" s="60" t="n">
        <x:v>65</x:v>
      </x:c>
      <x:c r="E14" s="60" t="n">
        <x:v>1714</x:v>
      </x:c>
      <x:c r="F14" s="60" t="n">
        <x:v>38</x:v>
      </x:c>
      <x:c r="G14" s="60" t="n">
        <x:v>1517</x:v>
      </x:c>
      <x:c r="H14" s="60" t="n">
        <x:v>22</x:v>
      </x:c>
      <x:c r="I14" s="60" t="n">
        <x:f>IF(D14&gt;0,1,0)+IF(F14&gt;0,1,0)+IF(H14&gt;0,1,0)</x:f>
        <x:v>3</x:v>
      </x:c>
      <x:c r="J14" s="60" t="n">
        <x:f>(C14*D14+E14*F14+G14*H14)/(D14+F14+H14)</x:f>
        <x:v>1847.288</x:v>
      </x:c>
      <x:c r="K14" s="60" t="n">
        <x:f>MAX(C14,E14,G14)</x:f>
        <x:v>2037</x:v>
      </x:c>
      <x:c r="L14" s="60" t="n">
        <x:f>C14+E14+G14-MAX(C14,E14,G14)-MIN(C14,E14,G14)</x:f>
        <x:v>1714</x:v>
      </x:c>
      <x:c r="M14" s="60" t="n">
        <x:f>K14-L14</x:f>
        <x:v>323</x:v>
      </x:c>
      <x:c r="N14" s="60" t="n">
        <x:f>IF(M14&lt;'Model &amp; indstillinger'!$E$16,'Model &amp; indstillinger'!$E$18,IF(AND(I14=2,M14&lt;'Model &amp; indstillinger'!$E$17),'Model &amp; indstillinger'!$E$19,'Model &amp; indstillinger'!$E$20))</x:f>
        <x:v>0.321</x:v>
      </x:c>
      <x:c r="O14" s="60" t="n">
        <x:f>J14+N14*(K14-J14)</x:f>
        <x:v>1908.185552</x:v>
      </x:c>
      <x:c r="P14" s="60" t="n">
        <x:f>ROUND(O14,0)</x:f>
        <x:v>1908</x:v>
      </x:c>
      <x:c r="Q14" s="60" t="n">
        <x:f>P14-B14</x:f>
        <x:v>-1</x:v>
      </x:c>
      <x:c r="R14" s="60" t="str">
        <x:f>IF(ABS(Q14)&lt;=1,"OK","CHECK")</x:f>
        <x:v>OK</x:v>
      </x:c>
    </x:row>
    <x:row r="15">
      <x:c r="A15" s="60" t="n"/>
      <x:c r="B15" s="60" t="n"/>
      <x:c r="C15" s="60" t="n"/>
      <x:c r="D15" s="60" t="n"/>
      <x:c r="E15" s="60" t="n"/>
      <x:c r="F15" s="60" t="n"/>
      <x:c r="G15" s="60" t="n"/>
      <x:c r="H15" s="60" t="n"/>
      <x:c r="I15" s="60" t="n"/>
      <x:c r="J15" s="60" t="n"/>
      <x:c r="K15" s="60" t="n"/>
      <x:c r="L15" s="60" t="n"/>
      <x:c r="M15" s="60" t="n"/>
      <x:c r="N15" s="60" t="n"/>
      <x:c r="O15" s="60" t="n"/>
      <x:c r="P15" s="60" t="n"/>
      <x:c r="Q15" s="60" t="n"/>
      <x:c r="R15" s="60" t="n"/>
    </x:row>
    <x:row r="16">
      <x:c r="A16" s="60" t="n"/>
      <x:c r="B16" s="60" t="n"/>
      <x:c r="C16" s="60" t="n"/>
      <x:c r="D16" s="60" t="n"/>
      <x:c r="E16" s="60" t="n"/>
      <x:c r="F16" s="60" t="n"/>
      <x:c r="G16" s="60" t="n"/>
      <x:c r="H16" s="60" t="n"/>
      <x:c r="I16" s="60" t="n"/>
      <x:c r="J16" s="60" t="n"/>
      <x:c r="K16" s="60" t="n"/>
      <x:c r="L16" s="60" t="n"/>
      <x:c r="M16" s="60" t="n"/>
      <x:c r="N16" s="60" t="n"/>
      <x:c r="O16" s="60" t="n"/>
      <x:c r="P16" s="60" t="n"/>
      <x:c r="Q16" s="60" t="n"/>
      <x:c r="R16" s="60" t="n"/>
    </x:row>
    <x:row r="17">
      <x:c r="A17" s="60" t="n"/>
      <x:c r="B17" s="60" t="n"/>
      <x:c r="C17" s="60" t="n"/>
      <x:c r="D17" s="60" t="n"/>
      <x:c r="E17" s="60" t="n"/>
      <x:c r="F17" s="60" t="n"/>
      <x:c r="G17" s="60" t="n"/>
      <x:c r="H17" s="60" t="n"/>
      <x:c r="I17" s="60" t="n"/>
      <x:c r="J17" s="60" t="n"/>
      <x:c r="K17" s="60" t="n"/>
      <x:c r="L17" s="60" t="n"/>
      <x:c r="M17" s="60" t="n"/>
      <x:c r="N17" s="60" t="n"/>
      <x:c r="O17" s="60" t="n"/>
      <x:c r="P17" s="60" t="n"/>
      <x:c r="Q17" s="60" t="n"/>
      <x:c r="R17" s="60" t="n"/>
    </x:row>
    <x:row r="18">
      <x:c r="A18" s="60" t="n"/>
      <x:c r="B18" s="60" t="n"/>
      <x:c r="C18" s="60" t="n"/>
      <x:c r="D18" s="60" t="n"/>
      <x:c r="E18" s="60" t="n"/>
      <x:c r="F18" s="60" t="n"/>
      <x:c r="G18" s="60" t="n"/>
      <x:c r="H18" s="60" t="n"/>
      <x:c r="I18" s="60" t="n"/>
      <x:c r="J18" s="60" t="n"/>
      <x:c r="K18" s="60" t="n"/>
      <x:c r="L18" s="60" t="n"/>
      <x:c r="M18" s="60" t="n"/>
      <x:c r="N18" s="60" t="n"/>
      <x:c r="O18" s="60" t="n"/>
      <x:c r="P18" s="60" t="n"/>
      <x:c r="Q18" s="60" t="n"/>
      <x:c r="R18" s="60" t="n"/>
    </x:row>
    <x:row r="19">
      <x:c r="A19" s="60" t="n"/>
      <x:c r="B19" s="60" t="n"/>
      <x:c r="C19" s="60" t="n"/>
      <x:c r="D19" s="60" t="n"/>
      <x:c r="E19" s="60" t="n"/>
      <x:c r="F19" s="60" t="n"/>
      <x:c r="G19" s="60" t="n"/>
      <x:c r="H19" s="60" t="n"/>
      <x:c r="I19" s="60" t="n"/>
      <x:c r="J19" s="60" t="n"/>
      <x:c r="K19" s="60" t="n"/>
      <x:c r="L19" s="60" t="n"/>
      <x:c r="M19" s="60" t="n"/>
      <x:c r="N19" s="60" t="n"/>
      <x:c r="O19" s="60" t="n"/>
      <x:c r="P19" s="60" t="n"/>
      <x:c r="Q19" s="60" t="n"/>
      <x:c r="R19" s="60" t="n"/>
    </x:row>
    <x:row r="20">
      <x:c r="A20" s="60" t="n"/>
      <x:c r="B20" s="60" t="n"/>
      <x:c r="C20" s="60" t="n"/>
      <x:c r="D20" s="60" t="n"/>
      <x:c r="E20" s="60" t="n"/>
      <x:c r="F20" s="60" t="n"/>
      <x:c r="G20" s="60" t="n"/>
      <x:c r="H20" s="60" t="n"/>
      <x:c r="I20" s="60" t="n"/>
      <x:c r="J20" s="60" t="n"/>
      <x:c r="K20" s="60" t="n"/>
      <x:c r="L20" s="60" t="n"/>
      <x:c r="M20" s="60" t="n"/>
      <x:c r="N20" s="60" t="n"/>
      <x:c r="O20" s="60" t="n"/>
      <x:c r="P20" s="60" t="n"/>
      <x:c r="Q20" s="60" t="n"/>
      <x:c r="R20" s="60" t="n"/>
    </x:row>
    <x:row r="21">
      <x:c r="A21" s="60" t="n"/>
      <x:c r="B21" s="60" t="n"/>
      <x:c r="C21" s="60" t="n"/>
      <x:c r="D21" s="60" t="n"/>
      <x:c r="E21" s="60" t="n"/>
      <x:c r="F21" s="60" t="n"/>
      <x:c r="G21" s="60" t="n"/>
      <x:c r="H21" s="60" t="n"/>
      <x:c r="I21" s="60" t="n"/>
      <x:c r="J21" s="60" t="n"/>
      <x:c r="K21" s="60" t="n"/>
      <x:c r="L21" s="60" t="n"/>
      <x:c r="M21" s="60" t="n"/>
      <x:c r="N21" s="60" t="n"/>
      <x:c r="O21" s="60" t="n"/>
      <x:c r="P21" s="60" t="n"/>
      <x:c r="Q21" s="60" t="n"/>
      <x:c r="R21" s="60" t="n"/>
    </x:row>
    <x:row r="22">
      <x:c r="A22" s="60" t="n"/>
      <x:c r="B22" s="60" t="n"/>
      <x:c r="C22" s="60" t="n"/>
      <x:c r="D22" s="60" t="n"/>
      <x:c r="E22" s="60" t="n"/>
      <x:c r="F22" s="60" t="n"/>
      <x:c r="G22" s="60" t="n"/>
      <x:c r="H22" s="60" t="n"/>
      <x:c r="I22" s="60" t="n"/>
      <x:c r="J22" s="60" t="n"/>
      <x:c r="K22" s="60" t="n"/>
      <x:c r="L22" s="60" t="n"/>
      <x:c r="M22" s="60" t="n"/>
      <x:c r="N22" s="60" t="n"/>
      <x:c r="O22" s="60" t="n"/>
      <x:c r="P22" s="60" t="n"/>
      <x:c r="Q22" s="60" t="n"/>
      <x:c r="R22" s="60" t="n"/>
    </x:row>
    <x:row r="23">
      <x:c r="A23" s="60" t="n"/>
      <x:c r="B23" s="60" t="n"/>
      <x:c r="C23" s="60" t="n"/>
      <x:c r="D23" s="60" t="n"/>
      <x:c r="E23" s="60" t="n"/>
      <x:c r="F23" s="60" t="n"/>
      <x:c r="G23" s="60" t="n"/>
      <x:c r="H23" s="60" t="n"/>
      <x:c r="I23" s="60" t="n"/>
      <x:c r="J23" s="60" t="n"/>
      <x:c r="K23" s="60" t="n"/>
      <x:c r="L23" s="60" t="n"/>
      <x:c r="M23" s="60" t="n"/>
      <x:c r="N23" s="60" t="n"/>
      <x:c r="O23" s="60" t="n"/>
      <x:c r="P23" s="60" t="n"/>
      <x:c r="Q23" s="60" t="n"/>
      <x:c r="R23" s="60" t="n"/>
    </x:row>
    <x:row r="24">
      <x:c r="A24" s="60" t="n"/>
      <x:c r="B24" s="60" t="n"/>
      <x:c r="C24" s="60" t="n"/>
      <x:c r="D24" s="60" t="n"/>
      <x:c r="E24" s="60" t="n"/>
      <x:c r="F24" s="60" t="n"/>
      <x:c r="G24" s="60" t="n"/>
      <x:c r="H24" s="60" t="n"/>
      <x:c r="I24" s="60" t="n"/>
      <x:c r="J24" s="60" t="n"/>
      <x:c r="K24" s="60" t="n"/>
      <x:c r="L24" s="60" t="n"/>
      <x:c r="M24" s="60" t="n"/>
      <x:c r="N24" s="60" t="n"/>
      <x:c r="O24" s="60" t="n"/>
      <x:c r="P24" s="60" t="n"/>
      <x:c r="Q24" s="60" t="n"/>
      <x:c r="R24" s="60" t="n"/>
    </x:row>
    <x:row r="25">
      <x:c r="A25" s="60" t="n"/>
      <x:c r="B25" s="60" t="n"/>
      <x:c r="C25" s="60" t="n"/>
      <x:c r="D25" s="60" t="n"/>
      <x:c r="E25" s="60" t="n"/>
      <x:c r="F25" s="60" t="n"/>
      <x:c r="G25" s="60" t="n"/>
      <x:c r="H25" s="60" t="n"/>
      <x:c r="I25" s="60" t="n"/>
      <x:c r="J25" s="60" t="n"/>
      <x:c r="K25" s="60" t="n"/>
      <x:c r="L25" s="60" t="n"/>
      <x:c r="M25" s="60" t="n"/>
      <x:c r="N25" s="60" t="n"/>
      <x:c r="O25" s="60" t="n"/>
      <x:c r="P25" s="60" t="n"/>
      <x:c r="Q25" s="60" t="n"/>
      <x:c r="R25" s="60" t="n"/>
    </x:row>
    <x:row r="26">
      <x:c r="A26" s="60" t="n"/>
      <x:c r="B26" s="60" t="n"/>
      <x:c r="C26" s="60" t="n"/>
      <x:c r="D26" s="60" t="n"/>
      <x:c r="E26" s="60" t="n"/>
      <x:c r="F26" s="60" t="n"/>
      <x:c r="G26" s="60" t="n"/>
      <x:c r="H26" s="60" t="n"/>
      <x:c r="I26" s="60" t="n"/>
      <x:c r="J26" s="60" t="n"/>
      <x:c r="K26" s="60" t="n"/>
      <x:c r="L26" s="60" t="n"/>
      <x:c r="M26" s="60" t="n"/>
      <x:c r="N26" s="60" t="n"/>
      <x:c r="O26" s="60" t="n"/>
      <x:c r="P26" s="60" t="n"/>
      <x:c r="Q26" s="60" t="n"/>
      <x:c r="R26" s="60" t="n"/>
    </x:row>
    <x:row r="27">
      <x:c r="A27" s="60" t="n"/>
      <x:c r="B27" s="60" t="n"/>
      <x:c r="C27" s="60" t="n"/>
      <x:c r="D27" s="60" t="n"/>
      <x:c r="E27" s="60" t="n"/>
      <x:c r="F27" s="60" t="n"/>
      <x:c r="G27" s="60" t="n"/>
      <x:c r="H27" s="60" t="n"/>
      <x:c r="I27" s="60" t="n"/>
      <x:c r="J27" s="60" t="n"/>
      <x:c r="K27" s="60" t="n"/>
      <x:c r="L27" s="60" t="n"/>
      <x:c r="M27" s="60" t="n"/>
      <x:c r="N27" s="60" t="n"/>
      <x:c r="O27" s="60" t="n"/>
      <x:c r="P27" s="60" t="n"/>
      <x:c r="Q27" s="60" t="n"/>
      <x:c r="R27" s="60" t="n"/>
    </x:row>
    <x:row r="28">
      <x:c r="A28" s="60" t="n"/>
      <x:c r="B28" s="60" t="n"/>
      <x:c r="C28" s="60" t="n"/>
      <x:c r="D28" s="60" t="n"/>
      <x:c r="E28" s="60" t="n"/>
      <x:c r="F28" s="60" t="n"/>
      <x:c r="G28" s="60" t="n"/>
      <x:c r="H28" s="60" t="n"/>
      <x:c r="I28" s="60" t="n"/>
      <x:c r="J28" s="60" t="n"/>
      <x:c r="K28" s="60" t="n"/>
      <x:c r="L28" s="60" t="n"/>
      <x:c r="M28" s="60" t="n"/>
      <x:c r="N28" s="60" t="n"/>
      <x:c r="O28" s="60" t="n"/>
      <x:c r="P28" s="60" t="n"/>
      <x:c r="Q28" s="60" t="n"/>
      <x:c r="R28" s="60" t="n"/>
    </x:row>
    <x:row r="29">
      <x:c r="A29" s="60" t="n"/>
      <x:c r="B29" s="60" t="n"/>
      <x:c r="C29" s="60" t="n"/>
      <x:c r="D29" s="60" t="n"/>
      <x:c r="E29" s="60" t="n"/>
      <x:c r="F29" s="60" t="n"/>
      <x:c r="G29" s="60" t="n"/>
      <x:c r="H29" s="60" t="n"/>
      <x:c r="I29" s="60" t="n"/>
      <x:c r="J29" s="60" t="n"/>
      <x:c r="K29" s="60" t="n"/>
      <x:c r="L29" s="60" t="n"/>
      <x:c r="M29" s="60" t="n"/>
      <x:c r="N29" s="60" t="n"/>
      <x:c r="O29" s="60" t="n"/>
      <x:c r="P29" s="60" t="n"/>
      <x:c r="Q29" s="60" t="n"/>
      <x:c r="R29" s="60" t="n"/>
    </x:row>
    <x:row r="30">
      <x:c r="A30" s="60" t="n"/>
      <x:c r="B30" s="60" t="n"/>
      <x:c r="C30" s="60" t="n"/>
      <x:c r="D30" s="60" t="n"/>
      <x:c r="E30" s="60" t="n"/>
      <x:c r="F30" s="60" t="n"/>
      <x:c r="G30" s="60" t="n"/>
      <x:c r="H30" s="60" t="n"/>
      <x:c r="I30" s="60" t="n"/>
      <x:c r="J30" s="60" t="n"/>
      <x:c r="K30" s="60" t="n"/>
      <x:c r="L30" s="60" t="n"/>
      <x:c r="M30" s="60" t="n"/>
      <x:c r="N30" s="60" t="n"/>
      <x:c r="O30" s="60" t="n"/>
      <x:c r="P30" s="60" t="n"/>
      <x:c r="Q30" s="60" t="n"/>
      <x:c r="R30" s="60" t="n"/>
    </x:row>
  </x:sheetData>
  <x:mergeCells>
    <x:mergeCell ref="A1:R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8" defaultRowHeight="15"/>
  <x:cols>
    <x:col min="1" max="1" width="22" style="8" customWidth="1"/>
    <x:col min="2" max="2" width="12" style="8" customWidth="1"/>
    <x:col min="3" max="3" width="12" style="8" customWidth="1"/>
    <x:col min="4" max="4" width="8" style="8" customWidth="1"/>
    <x:col min="5" max="5" width="8" style="8" customWidth="1"/>
    <x:col min="6" max="6" width="8" style="8" customWidth="1"/>
    <x:col min="7" max="7" width="11" style="8" customWidth="1"/>
    <x:col min="8" max="8" width="11" style="8" customWidth="1"/>
    <x:col min="9" max="9" width="11" style="8" customWidth="1"/>
    <x:col min="10" max="10" width="10" style="8" customWidth="1"/>
    <x:col min="11" max="11" width="14" style="8" customWidth="1"/>
    <x:col min="12" max="12" width="10" style="8" customWidth="1"/>
    <x:col min="13" max="13" width="14" style="8" customWidth="1"/>
    <x:col min="14" max="14" width="11" style="8" customWidth="1"/>
    <x:col min="15" max="15" width="3" hidden="0" customWidth="1"/>
    <x:col min="16" max="16" width="3" hidden="0" customWidth="1"/>
    <x:col min="17" max="17" width="3" hidden="0" customWidth="1"/>
    <x:col min="18" max="18" width="3" hidden="0" customWidth="1"/>
    <x:col min="19" max="19" width="3" hidden="0" customWidth="1"/>
    <x:col min="20" max="20" width="3" hidden="0" customWidth="1"/>
    <x:col min="21" max="21" width="3" hidden="0" customWidth="1"/>
    <x:col min="22" max="22" width="3" hidden="0" customWidth="1"/>
    <x:col min="23" max="23" width="3" hidden="0" customWidth="1"/>
  </x:cols>
  <x:sheetData>
    <x:row r="1">
      <x:c r="A1" s="124" t="inlineStr">
        <x:is>
          <x:t xml:space="preserve">Turneringsoversigt – pointhøst og udvikling mod 1850</x:t>
        </x:is>
      </x:c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71" t="n"/>
      <x:c r="P1" s="171" t="n"/>
      <x:c r="Q1" s="171" t="n"/>
      <x:c r="R1" s="171" t="n"/>
      <x:c r="S1" s="171" t="n"/>
      <x:c r="T1" s="171" t="n"/>
      <x:c r="U1" s="171" t="n"/>
      <x:c r="V1" s="225"/>
      <x:c r="W1" s="225"/>
    </x:row>
    <x:row r="2">
      <x:c r="A2" s="117" t="inlineStr">
        <x:is>
          <x:t xml:space="preserve">Rå kategoripoint = Single + Double + Mix. Vægtet TN-ændring er den reelle ændring i Mattis samlede tilmeldingsniveau. Det seneste stævne står som 'I gang', indtil næste stævnenavn begynder.</x:t>
        </x:is>
      </x:c>
      <x:c r="B2" s="1" t="n"/>
      <x:c r="C2" s="1" t="n"/>
      <x:c r="D2" s="1" t="n"/>
      <x:c r="E2" s="1" t="n"/>
      <x:c r="F2" s="1" t="n"/>
      <x:c r="G2" s="1" t="n"/>
      <x:c r="H2" s="1" t="n"/>
      <x:c r="I2" s="1" t="n"/>
      <x:c r="J2" s="1" t="n"/>
      <x:c r="K2" s="1" t="n"/>
      <x:c r="L2" s="1" t="n"/>
      <x:c r="M2" s="1" t="n"/>
      <x:c r="N2" s="1" t="n"/>
      <x:c r="O2" s="60" t="n"/>
      <x:c r="P2" s="60" t="n"/>
      <x:c r="Q2" s="60" t="n"/>
      <x:c r="R2" s="60" t="n"/>
      <x:c r="S2" s="60" t="n"/>
      <x:c r="T2" s="60" t="n"/>
      <x:c r="U2" s="60" t="n"/>
    </x:row>
    <x:row r="3">
      <x:c r="A3" s="60" t="n"/>
      <x:c r="B3" s="60" t="n"/>
      <x:c r="C3" s="60" t="n"/>
      <x:c r="D3" s="60" t="n"/>
      <x:c r="E3" s="60" t="n"/>
      <x:c r="F3" s="60" t="n"/>
      <x:c r="G3" s="60" t="n"/>
      <x:c r="H3" s="60" t="n"/>
      <x:c r="I3" s="60" t="n"/>
      <x:c r="J3" s="60" t="n"/>
      <x:c r="K3" s="60" t="n"/>
      <x:c r="L3" s="60" t="n"/>
      <x:c r="M3" s="60" t="n"/>
      <x:c r="N3" s="60" t="n"/>
      <x:c r="O3" s="60" t="n"/>
      <x:c r="P3" s="60" t="n"/>
      <x:c r="Q3" s="60" t="n"/>
      <x:c r="R3" s="60" t="n"/>
      <x:c r="S3" s="60" t="n"/>
      <x:c r="T3" s="60" t="n"/>
      <x:c r="U3" s="60" t="n"/>
    </x:row>
    <x:row r="4">
      <x:c r="A4" s="85" t="inlineStr">
        <x:is>
          <x:t xml:space="preserve">Stævne</x:t>
        </x:is>
      </x:c>
      <x:c r="B4" s="85" t="inlineStr">
        <x:is>
          <x:t xml:space="preserve">Region</x:t>
        </x:is>
      </x:c>
      <x:c r="C4" s="85" t="inlineStr">
        <x:is>
          <x:t xml:space="preserve">Status</x:t>
        </x:is>
      </x:c>
      <x:c r="D4" s="85" t="inlineStr">
        <x:is>
          <x:t xml:space="preserve">Kampe</x:t>
        </x:is>
      </x:c>
      <x:c r="E4" s="85" t="inlineStr">
        <x:is>
          <x:t xml:space="preserve">Sejre</x:t>
        </x:is>
      </x:c>
      <x:c r="F4" s="85" t="inlineStr">
        <x:is>
          <x:t xml:space="preserve">Nederlag</x:t>
        </x:is>
      </x:c>
      <x:c r="G4" s="85" t="inlineStr">
        <x:is>
          <x:t xml:space="preserve">Ikke spillet</x:t>
        </x:is>
      </x:c>
      <x:c r="H4" s="85" t="inlineStr">
        <x:is>
          <x:t xml:space="preserve">Single +/-</x:t>
        </x:is>
      </x:c>
      <x:c r="I4" s="85" t="inlineStr">
        <x:is>
          <x:t xml:space="preserve">Double +/-</x:t>
        </x:is>
      </x:c>
      <x:c r="J4" s="85" t="inlineStr">
        <x:is>
          <x:t xml:space="preserve">Mix +/-</x:t>
        </x:is>
      </x:c>
      <x:c r="K4" s="85" t="inlineStr">
        <x:is>
          <x:t xml:space="preserve">Rå kategoripoint</x:t>
        </x:is>
      </x:c>
      <x:c r="L4" s="85" t="inlineStr">
        <x:is>
          <x:t xml:space="preserve">TN før</x:t>
        </x:is>
      </x:c>
      <x:c r="M4" s="85" t="inlineStr">
        <x:is>
          <x:t xml:space="preserve">TN efter / est.</x:t>
        </x:is>
      </x:c>
      <x:c r="N4" s="85" t="inlineStr">
        <x:is>
          <x:t xml:space="preserve">TN ændring</x:t>
        </x:is>
      </x:c>
      <x:c r="O4" s="60" t="str">
        <x:v>ID</x:v>
      </x:c>
      <x:c r="P4" s="60" t="str">
        <x:v>S point</x:v>
      </x:c>
      <x:c r="Q4" s="60" t="str">
        <x:v>S kampe</x:v>
      </x:c>
      <x:c r="R4" s="60" t="str">
        <x:v>D point</x:v>
      </x:c>
      <x:c r="S4" s="60" t="str">
        <x:v>D kampe</x:v>
      </x:c>
      <x:c r="T4" s="60" t="str">
        <x:v>M point</x:v>
      </x:c>
      <x:c r="U4" s="60" t="str">
        <x:v>M kampe</x:v>
      </x:c>
      <x:c r="V4" t="str">
        <x:v>TN efter</x:v>
      </x:c>
      <x:c r="W4" t="str">
        <x:v>TN før</x:v>
      </x:c>
    </x:row>
    <x:row r="5">
      <x:c r="A5" s="77" t="str">
        <x:f>IF(O5&gt;MAX(Kampregistrering!$AG$10:$AG$209),"",VLOOKUP(O5,Kampregistrering!$AQ$10:$AS$209,2,FALSE))</x:f>
        <x:v>Køge</x:v>
      </x:c>
      <x:c r="B5" s="81" t="str">
        <x:f>IF(A5="","",VLOOKUP(O5,Kampregistrering!$AQ$10:$AS$209,3,FALSE))</x:f>
        <x:v>Sjælland</x:v>
      </x:c>
      <x:c r="C5" s="95" t="str">
        <x:f>IF(A5="","",IF(O5&lt;MAX(Kampregistrering!$AG$10:$AG$209),"Afsluttet","I gang"))</x:f>
        <x:v>Afsluttet</x:v>
      </x:c>
      <x:c r="D5" s="81" t="n">
        <x:f>IF(A5="","",COUNTIFS(Kampregistrering!$AG$10:$AG$209,O5,Kampregistrering!$AK$10:$AK$209,1))</x:f>
        <x:v>2</x:v>
      </x:c>
      <x:c r="E5" s="81" t="n">
        <x:f>IF(A5="","",COUNTIFS(Kampregistrering!$AG$10:$AG$209,O5,Kampregistrering!$H$10:$H$209,"Vundet"))</x:f>
        <x:v>1</x:v>
      </x:c>
      <x:c r="F5" s="81" t="n">
        <x:f>IF(A5="","",COUNTIFS(Kampregistrering!$AG$10:$AG$209,O5,Kampregistrering!$H$10:$H$209,"Tabt"))</x:f>
        <x:v>1</x:v>
      </x:c>
      <x:c r="G5" s="81" t="n">
        <x:f>IF(A5="","",COUNTIFS(Kampregistrering!$AG$10:$AG$209,O5,Kampregistrering!$H$10:$H$209,"Ikke spillet"))</x:f>
        <x:v>0</x:v>
      </x:c>
      <x:c r="H5" s="125" t="n">
        <x:f>IF(A5="","",SUMIFS(Kampregistrering!$U$10:$U$209,Kampregistrering!$AG$10:$AG$209,O5,Kampregistrering!$G$10:$G$209,"Single"))</x:f>
        <x:v>0</x:v>
      </x:c>
      <x:c r="I5" s="125" t="n">
        <x:f>IF(A5="","",SUMIFS(Kampregistrering!$U$10:$U$209,Kampregistrering!$AG$10:$AG$209,O5,Kampregistrering!$G$10:$G$209,"Double"))</x:f>
        <x:v>6</x:v>
      </x:c>
      <x:c r="J5" s="125" t="n">
        <x:f>IF(A5="","",SUMIFS(Kampregistrering!$U$10:$U$209,Kampregistrering!$AG$10:$AG$209,O5,Kampregistrering!$G$10:$G$209,"Mix"))</x:f>
        <x:v>0</x:v>
      </x:c>
      <x:c r="K5" s="125" t="n">
        <x:f>IF(A5="","",H5+I5+J5)</x:f>
        <x:v>6</x:v>
      </x:c>
      <x:c r="L5" s="125" t="n">
        <x:f>'Model &amp; indstillinger'!$B$12</x:f>
        <x:v>1676</x:v>
      </x:c>
      <x:c r="M5" s="125" t="n">
        <x:f>IF(A5="","",V5)</x:f>
        <x:v>1677</x:v>
      </x:c>
      <x:c r="N5" s="125" t="n">
        <x:f>IF(A5="","",M5-L5)</x:f>
        <x:v>1</x:v>
      </x:c>
      <x:c r="O5" s="60" t="n">
        <x:v>1</x:v>
      </x:c>
      <x:c r="P5" s="60" t="n">
        <x:f>IF(A5="","",'Model &amp; indstillinger'!$B$6+H5)</x:f>
        <x:v>1712</x:v>
      </x:c>
      <x:c r="Q5" s="60" t="n">
        <x:f>IF(A5="","",'Model &amp; indstillinger'!$B$7+COUNTIFS(Kampregistrering!$AG$10:$AG$209,O5,Kampregistrering!$G$10:$G$209,"Single",Kampregistrering!$AK$10:$AK$209,1))</x:f>
        <x:v>46</x:v>
      </x:c>
      <x:c r="R5" s="60" t="n">
        <x:f>IF(A5="","",'Model &amp; indstillinger'!$B$8+I5)</x:f>
        <x:v>1638</x:v>
      </x:c>
      <x:c r="S5" s="60" t="n">
        <x:f>IF(A5="","",'Model &amp; indstillinger'!$B$9+COUNTIFS(Kampregistrering!$AG$10:$AG$209,O5,Kampregistrering!$G$10:$G$209,"Double",Kampregistrering!$AK$10:$AK$209,1))</x:f>
        <x:v>43</x:v>
      </x:c>
      <x:c r="T5" s="60" t="n">
        <x:f>IF(A5="","",'Model &amp; indstillinger'!$B$10+J5)</x:f>
        <x:v>1386</x:v>
      </x:c>
      <x:c r="U5" s="60" t="n">
        <x:f>IF(A5="","",'Model &amp; indstillinger'!$B$11+COUNTIFS(Kampregistrering!$AG$10:$AG$209,O5,Kampregistrering!$G$10:$G$209,"Mix",Kampregistrering!$AK$10:$AK$209,1))</x:f>
        <x:v>5</x:v>
      </x:c>
      <x:c r="V5" t="n">
        <x:f>IF(A5="","",ROUND(((P5*Q5+R5*S5+T5*U5)/(Q5+S5+U5))+IF((MAX(P5,R5,T5)-(P5+R5+T5-MAX(P5,R5,T5)-MIN(P5,R5,T5)))&lt;'Model &amp; indstillinger'!$E$16,'Model &amp; indstillinger'!$E$18,'Model &amp; indstillinger'!$E$20)*(MAX(P5,R5,T5)-((P5*Q5+R5*S5+T5*U5)/(Q5+S5+U5))),0))</x:f>
        <x:v>1677</x:v>
      </x:c>
      <x:c r="W5" t="n">
        <x:f>'Model &amp; indstillinger'!$B$12</x:f>
        <x:v>1676</x:v>
      </x:c>
    </x:row>
    <x:row r="6">
      <x:c r="A6" s="77" t="str">
        <x:f>IF(O6&gt;MAX(Kampregistrering!$AG$10:$AG$209),"",VLOOKUP(O6,Kampregistrering!$AQ$10:$AS$209,2,FALSE))</x:f>
        <x:v>Victor LBS</x:v>
      </x:c>
      <x:c r="B6" s="81" t="str">
        <x:f>IF(A6="","",VLOOKUP(O6,Kampregistrering!$AQ$10:$AS$209,3,FALSE))</x:f>
        <x:v>Jylland</x:v>
      </x:c>
      <x:c r="C6" s="95" t="str">
        <x:f>IF(A6="","",IF(O6&lt;MAX(Kampregistrering!$AG$10:$AG$209),"Afsluttet","I gang"))</x:f>
        <x:v>Afsluttet</x:v>
      </x:c>
      <x:c r="D6" s="81" t="n">
        <x:f>IF(A6="","",COUNTIFS(Kampregistrering!$AG$10:$AG$209,O6,Kampregistrering!$AK$10:$AK$209,1))</x:f>
        <x:v>8</x:v>
      </x:c>
      <x:c r="E6" s="81" t="n">
        <x:f>IF(A6="","",COUNTIFS(Kampregistrering!$AG$10:$AG$209,O6,Kampregistrering!$H$10:$H$209,"Vundet"))</x:f>
        <x:v>6</x:v>
      </x:c>
      <x:c r="F6" s="81" t="n">
        <x:f>IF(A6="","",COUNTIFS(Kampregistrering!$AG$10:$AG$209,O6,Kampregistrering!$H$10:$H$209,"Tabt"))</x:f>
        <x:v>2</x:v>
      </x:c>
      <x:c r="G6" s="81" t="n">
        <x:f>IF(A6="","",COUNTIFS(Kampregistrering!$AG$10:$AG$209,O6,Kampregistrering!$H$10:$H$209,"Ikke spillet"))</x:f>
        <x:v>3</x:v>
      </x:c>
      <x:c r="H6" s="125" t="n">
        <x:f>IF(A6="","",SUMIFS(Kampregistrering!$U$10:$U$209,Kampregistrering!$AG$10:$AG$209,O6,Kampregistrering!$G$10:$G$209,"Single"))</x:f>
        <x:v>31</x:v>
      </x:c>
      <x:c r="I6" s="125" t="n">
        <x:f>IF(A6="","",SUMIFS(Kampregistrering!$U$10:$U$209,Kampregistrering!$AG$10:$AG$209,O6,Kampregistrering!$G$10:$G$209,"Double"))</x:f>
        <x:v>57</x:v>
      </x:c>
      <x:c r="J6" s="125" t="n">
        <x:f>IF(A6="","",SUMIFS(Kampregistrering!$U$10:$U$209,Kampregistrering!$AG$10:$AG$209,O6,Kampregistrering!$G$10:$G$209,"Mix"))</x:f>
        <x:v>0</x:v>
      </x:c>
      <x:c r="K6" s="125" t="n">
        <x:f>IF(A6="","",H6+I6+J6)</x:f>
        <x:v>88</x:v>
      </x:c>
      <x:c r="L6" s="125" t="n">
        <x:f>IF(A6="","",W6)</x:f>
        <x:v>1677</x:v>
      </x:c>
      <x:c r="M6" s="125" t="n">
        <x:f>IF(A6="","",V6)</x:f>
        <x:v>1714</x:v>
      </x:c>
      <x:c r="N6" s="125" t="n">
        <x:f>IF(A6="","",M6-L6)</x:f>
        <x:v>37</x:v>
      </x:c>
      <x:c r="O6" s="60" t="n">
        <x:v>2</x:v>
      </x:c>
      <x:c r="P6" s="60" t="n">
        <x:f>IF(A6="","",P5+H6)</x:f>
        <x:v>1743</x:v>
      </x:c>
      <x:c r="Q6" s="60" t="n">
        <x:f>IF(A6="","",Q5+COUNTIFS(Kampregistrering!$AG$10:$AG$209,O6,Kampregistrering!$G$10:$G$209,"Single",Kampregistrering!$AK$10:$AK$209,1))</x:f>
        <x:v>49</x:v>
      </x:c>
      <x:c r="R6" s="60" t="n">
        <x:f>IF(A6="","",R5+I6)</x:f>
        <x:v>1695</x:v>
      </x:c>
      <x:c r="S6" s="60" t="n">
        <x:f>IF(A6="","",S5+COUNTIFS(Kampregistrering!$AG$10:$AG$209,O6,Kampregistrering!$G$10:$G$209,"Double",Kampregistrering!$AK$10:$AK$209,1))</x:f>
        <x:v>48</x:v>
      </x:c>
      <x:c r="T6" s="60" t="n">
        <x:f>IF(A6="","",T5+J6)</x:f>
        <x:v>1386</x:v>
      </x:c>
      <x:c r="U6" s="60" t="n">
        <x:f>IF(A6="","",U5+COUNTIFS(Kampregistrering!$AG$10:$AG$209,O6,Kampregistrering!$G$10:$G$209,"Mix",Kampregistrering!$AK$10:$AK$209,1))</x:f>
        <x:v>5</x:v>
      </x:c>
      <x:c r="V6" t="n">
        <x:f>IF(A6="","",ROUND(((P6*Q6+R6*S6+T6*U6)/(Q6+S6+U6))+IF((MAX(P6,R6,T6)-(P6+R6+T6-MAX(P6,R6,T6)-MIN(P6,R6,T6)))&lt;'Model &amp; indstillinger'!$E$16,'Model &amp; indstillinger'!$E$18,'Model &amp; indstillinger'!$E$20)*(MAX(P6,R6,T6)-((P6*Q6+R6*S6+T6*U6)/(Q6+S6+U6))),0))</x:f>
        <x:v>1714</x:v>
      </x:c>
      <x:c r="W6" t="n">
        <x:f>IF(A6="","",V5)</x:f>
        <x:v>1677</x:v>
      </x:c>
    </x:row>
    <x:row r="7">
      <x:c r="A7" s="77" t="str">
        <x:f>IF(O7&gt;MAX(Kampregistrering!$AG$10:$AG$209),"",VLOOKUP(O7,Kampregistrering!$AQ$10:$AS$209,2,FALSE))</x:f>
        <x:v>Slangerup</x:v>
      </x:c>
      <x:c r="B7" s="81" t="str">
        <x:f>IF(A7="","",VLOOKUP(O7,Kampregistrering!$AQ$10:$AS$209,3,FALSE))</x:f>
        <x:v>Sjælland</x:v>
      </x:c>
      <x:c r="C7" s="95" t="str">
        <x:f>IF(A7="","",IF(O7&lt;MAX(Kampregistrering!$AG$10:$AG$209),"Afsluttet","I gang"))</x:f>
        <x:v>Afsluttet</x:v>
      </x:c>
      <x:c r="D7" s="81" t="n">
        <x:f>IF(A7="","",COUNTIFS(Kampregistrering!$AG$10:$AG$209,O7,Kampregistrering!$AK$10:$AK$209,1))</x:f>
        <x:v>9</x:v>
      </x:c>
      <x:c r="E7" s="81" t="n">
        <x:f>IF(A7="","",COUNTIFS(Kampregistrering!$AG$10:$AG$209,O7,Kampregistrering!$H$10:$H$209,"Vundet"))</x:f>
        <x:v>8</x:v>
      </x:c>
      <x:c r="F7" s="81" t="n">
        <x:f>IF(A7="","",COUNTIFS(Kampregistrering!$AG$10:$AG$209,O7,Kampregistrering!$H$10:$H$209,"Tabt"))</x:f>
        <x:v>1</x:v>
      </x:c>
      <x:c r="G7" s="81" t="n">
        <x:f>IF(A7="","",COUNTIFS(Kampregistrering!$AG$10:$AG$209,O7,Kampregistrering!$H$10:$H$209,"Ikke spillet"))</x:f>
        <x:v>0</x:v>
      </x:c>
      <x:c r="H7" s="125" t="n">
        <x:f>IF(A7="","",SUMIFS(Kampregistrering!$U$10:$U$209,Kampregistrering!$AG$10:$AG$209,O7,Kampregistrering!$G$10:$G$209,"Single"))</x:f>
        <x:v>62</x:v>
      </x:c>
      <x:c r="I7" s="125" t="n">
        <x:f>IF(A7="","",SUMIFS(Kampregistrering!$U$10:$U$209,Kampregistrering!$AG$10:$AG$209,O7,Kampregistrering!$G$10:$G$209,"Double"))</x:f>
        <x:v>39</x:v>
      </x:c>
      <x:c r="J7" s="125" t="n">
        <x:f>IF(A7="","",SUMIFS(Kampregistrering!$U$10:$U$209,Kampregistrering!$AG$10:$AG$209,O7,Kampregistrering!$G$10:$G$209,"Mix"))</x:f>
        <x:v>0</x:v>
      </x:c>
      <x:c r="K7" s="125" t="n">
        <x:f>IF(A7="","",H7+I7+J7)</x:f>
        <x:v>101</x:v>
      </x:c>
      <x:c r="L7" s="125" t="n">
        <x:f>IF(A7="","",W7)</x:f>
        <x:v>1714</x:v>
      </x:c>
      <x:c r="M7" s="125" t="n">
        <x:f>IF(A7="","",V7)</x:f>
        <x:v>1770</x:v>
      </x:c>
      <x:c r="N7" s="125" t="n">
        <x:f>IF(A7="","",M7-L7)</x:f>
        <x:v>56</x:v>
      </x:c>
      <x:c r="O7" s="60" t="n">
        <x:v>3</x:v>
      </x:c>
      <x:c r="P7" s="60" t="n">
        <x:f>IF(A7="","",P6+H7)</x:f>
        <x:v>1805</x:v>
      </x:c>
      <x:c r="Q7" s="60" t="n">
        <x:f>IF(A7="","",Q6+COUNTIFS(Kampregistrering!$AG$10:$AG$209,O7,Kampregistrering!$G$10:$G$209,"Single",Kampregistrering!$AK$10:$AK$209,1))</x:f>
        <x:v>54</x:v>
      </x:c>
      <x:c r="R7" s="60" t="n">
        <x:f>IF(A7="","",R6+I7)</x:f>
        <x:v>1734</x:v>
      </x:c>
      <x:c r="S7" s="60" t="n">
        <x:f>IF(A7="","",S6+COUNTIFS(Kampregistrering!$AG$10:$AG$209,O7,Kampregistrering!$G$10:$G$209,"Double",Kampregistrering!$AK$10:$AK$209,1))</x:f>
        <x:v>52</x:v>
      </x:c>
      <x:c r="T7" s="60" t="n">
        <x:f>IF(A7="","",T6+J7)</x:f>
        <x:v>1386</x:v>
      </x:c>
      <x:c r="U7" s="60" t="n">
        <x:f>IF(A7="","",U6+COUNTIFS(Kampregistrering!$AG$10:$AG$209,O7,Kampregistrering!$G$10:$G$209,"Mix",Kampregistrering!$AK$10:$AK$209,1))</x:f>
        <x:v>5</x:v>
      </x:c>
      <x:c r="V7" t="n">
        <x:f>IF(A7="","",ROUND(((P7*Q7+R7*S7+T7*U7)/(Q7+S7+U7))+IF((MAX(P7,R7,T7)-(P7+R7+T7-MAX(P7,R7,T7)-MIN(P7,R7,T7)))&lt;'Model &amp; indstillinger'!$E$16,'Model &amp; indstillinger'!$E$18,'Model &amp; indstillinger'!$E$20)*(MAX(P7,R7,T7)-((P7*Q7+R7*S7+T7*U7)/(Q7+S7+U7))),0))</x:f>
        <x:v>1770</x:v>
      </x:c>
      <x:c r="W7" t="n">
        <x:f>IF(A7="","",V6)</x:f>
        <x:v>1714</x:v>
      </x:c>
    </x:row>
    <x:row r="8">
      <x:c r="A8" s="77" t="str">
        <x:f>IF(O8&gt;MAX(Kampregistrering!$AG$10:$AG$209),"",VLOOKUP(O8,Kampregistrering!$AQ$10:$AS$209,2,FALSE))</x:f>
        <x:v>Herlev/Hjorten</x:v>
      </x:c>
      <x:c r="B8" s="81" t="str">
        <x:f>IF(A8="","",VLOOKUP(O8,Kampregistrering!$AQ$10:$AS$209,3,FALSE))</x:f>
        <x:v>Sjælland</x:v>
      </x:c>
      <x:c r="C8" s="95" t="str">
        <x:f>IF(A8="","",IF(O8&lt;MAX(Kampregistrering!$AG$10:$AG$209),"Afsluttet","I gang"))</x:f>
        <x:v>I gang</x:v>
      </x:c>
      <x:c r="D8" s="81" t="n">
        <x:f>IF(A8="","",COUNTIFS(Kampregistrering!$AG$10:$AG$209,O8,Kampregistrering!$AK$10:$AK$209,1))</x:f>
        <x:v>0</x:v>
      </x:c>
      <x:c r="E8" s="81" t="n">
        <x:f>IF(A8="","",COUNTIFS(Kampregistrering!$AG$10:$AG$209,O8,Kampregistrering!$H$10:$H$209,"Vundet"))</x:f>
        <x:v>0</x:v>
      </x:c>
      <x:c r="F8" s="81" t="n">
        <x:f>IF(A8="","",COUNTIFS(Kampregistrering!$AG$10:$AG$209,O8,Kampregistrering!$H$10:$H$209,"Tabt"))</x:f>
        <x:v>0</x:v>
      </x:c>
      <x:c r="G8" s="81" t="n">
        <x:f>IF(A8="","",COUNTIFS(Kampregistrering!$AG$10:$AG$209,O8,Kampregistrering!$H$10:$H$209,"Ikke spillet"))</x:f>
        <x:v>0</x:v>
      </x:c>
      <x:c r="H8" s="125" t="n">
        <x:f>IF(A8="","",SUMIFS(Kampregistrering!$U$10:$U$209,Kampregistrering!$AG$10:$AG$209,O8,Kampregistrering!$G$10:$G$209,"Single"))</x:f>
        <x:v>0</x:v>
      </x:c>
      <x:c r="I8" s="125" t="n">
        <x:f>IF(A8="","",SUMIFS(Kampregistrering!$U$10:$U$209,Kampregistrering!$AG$10:$AG$209,O8,Kampregistrering!$G$10:$G$209,"Double"))</x:f>
        <x:v>0</x:v>
      </x:c>
      <x:c r="J8" s="125" t="n">
        <x:f>IF(A8="","",SUMIFS(Kampregistrering!$U$10:$U$209,Kampregistrering!$AG$10:$AG$209,O8,Kampregistrering!$G$10:$G$209,"Mix"))</x:f>
        <x:v>0</x:v>
      </x:c>
      <x:c r="K8" s="125" t="n">
        <x:f>IF(A8="","",H8+I8+J8)</x:f>
        <x:v>0</x:v>
      </x:c>
      <x:c r="L8" s="125" t="n">
        <x:f>IF(A8="","",W8)</x:f>
        <x:v>1770</x:v>
      </x:c>
      <x:c r="M8" s="125" t="n">
        <x:f>IF(A8="","",V8)</x:f>
        <x:v>1770</x:v>
      </x:c>
      <x:c r="N8" s="125" t="n">
        <x:f>IF(A8="","",M8-L8)</x:f>
        <x:v>0</x:v>
      </x:c>
      <x:c r="O8" s="60" t="n">
        <x:v>4</x:v>
      </x:c>
      <x:c r="P8" s="60" t="n">
        <x:f>IF(A8="","",P7+H8)</x:f>
        <x:v>1805</x:v>
      </x:c>
      <x:c r="Q8" s="60" t="n">
        <x:f>IF(A8="","",Q7+COUNTIFS(Kampregistrering!$AG$10:$AG$209,O8,Kampregistrering!$G$10:$G$209,"Single",Kampregistrering!$AK$10:$AK$209,1))</x:f>
        <x:v>54</x:v>
      </x:c>
      <x:c r="R8" s="60" t="n">
        <x:f>IF(A8="","",R7+I8)</x:f>
        <x:v>1734</x:v>
      </x:c>
      <x:c r="S8" s="60" t="n">
        <x:f>IF(A8="","",S7+COUNTIFS(Kampregistrering!$AG$10:$AG$209,O8,Kampregistrering!$G$10:$G$209,"Double",Kampregistrering!$AK$10:$AK$209,1))</x:f>
        <x:v>52</x:v>
      </x:c>
      <x:c r="T8" s="60" t="n">
        <x:f>IF(A8="","",T7+J8)</x:f>
        <x:v>1386</x:v>
      </x:c>
      <x:c r="U8" s="60" t="n">
        <x:f>IF(A8="","",U7+COUNTIFS(Kampregistrering!$AG$10:$AG$209,O8,Kampregistrering!$G$10:$G$209,"Mix",Kampregistrering!$AK$10:$AK$209,1))</x:f>
        <x:v>5</x:v>
      </x:c>
      <x:c r="V8" t="n">
        <x:f>IF(A8="","",ROUND(((P8*Q8+R8*S8+T8*U8)/(Q8+S8+U8))+IF((MAX(P8,R8,T8)-(P8+R8+T8-MAX(P8,R8,T8)-MIN(P8,R8,T8)))&lt;'Model &amp; indstillinger'!$E$16,'Model &amp; indstillinger'!$E$18,'Model &amp; indstillinger'!$E$20)*(MAX(P8,R8,T8)-((P8*Q8+R8*S8+T8*U8)/(Q8+S8+U8))),0))</x:f>
        <x:v>1770</x:v>
      </x:c>
      <x:c r="W8" t="n">
        <x:f>IF(A8="","",V7)</x:f>
        <x:v>1770</x:v>
      </x:c>
    </x:row>
    <x:row r="9">
      <x:c r="A9" s="77" t="str">
        <x:f>IF(O9&gt;MAX(Kampregistrering!$AG$10:$AG$209),"",VLOOKUP(O9,Kampregistrering!$AQ$10:$AS$209,2,FALSE))</x:f>
      </x:c>
      <x:c r="B9" s="81" t="str">
        <x:f>IF(A9="","",VLOOKUP(O9,Kampregistrering!$AQ$10:$AS$209,3,FALSE))</x:f>
      </x:c>
      <x:c r="C9" s="95" t="str">
        <x:f>IF(A9="","",IF(O9&lt;MAX(Kampregistrering!$AG$10:$AG$209),"Afsluttet","I gang"))</x:f>
      </x:c>
      <x:c r="D9" s="81" t="str">
        <x:f>IF(A9="","",COUNTIFS(Kampregistrering!$AG$10:$AG$209,O9,Kampregistrering!$AK$10:$AK$209,1))</x:f>
      </x:c>
      <x:c r="E9" s="81" t="str">
        <x:f>IF(A9="","",COUNTIFS(Kampregistrering!$AG$10:$AG$209,O9,Kampregistrering!$H$10:$H$209,"Vundet"))</x:f>
      </x:c>
      <x:c r="F9" s="81" t="str">
        <x:f>IF(A9="","",COUNTIFS(Kampregistrering!$AG$10:$AG$209,O9,Kampregistrering!$H$10:$H$209,"Tabt"))</x:f>
      </x:c>
      <x:c r="G9" s="81" t="str">
        <x:f>IF(A9="","",COUNTIFS(Kampregistrering!$AG$10:$AG$209,O9,Kampregistrering!$H$10:$H$209,"Ikke spillet"))</x:f>
      </x:c>
      <x:c r="H9" s="125" t="str">
        <x:f>IF(A9="","",SUMIFS(Kampregistrering!$U$10:$U$209,Kampregistrering!$AG$10:$AG$209,O9,Kampregistrering!$G$10:$G$209,"Single"))</x:f>
      </x:c>
      <x:c r="I9" s="125" t="str">
        <x:f>IF(A9="","",SUMIFS(Kampregistrering!$U$10:$U$209,Kampregistrering!$AG$10:$AG$209,O9,Kampregistrering!$G$10:$G$209,"Double"))</x:f>
      </x:c>
      <x:c r="J9" s="125" t="str">
        <x:f>IF(A9="","",SUMIFS(Kampregistrering!$U$10:$U$209,Kampregistrering!$AG$10:$AG$209,O9,Kampregistrering!$G$10:$G$209,"Mix"))</x:f>
      </x:c>
      <x:c r="K9" s="125" t="str">
        <x:f>IF(A9="","",H9+I9+J9)</x:f>
      </x:c>
      <x:c r="L9" s="125" t="str">
        <x:f>IF(A9="","",W9)</x:f>
      </x:c>
      <x:c r="M9" s="125" t="str">
        <x:f>IF(A9="","",V9)</x:f>
      </x:c>
      <x:c r="N9" s="125" t="str">
        <x:f>IF(A9="","",M9-L9)</x:f>
      </x:c>
      <x:c r="O9" s="60" t="n">
        <x:v>5</x:v>
      </x:c>
      <x:c r="P9" s="60" t="str">
        <x:f>IF(A9="","",P8+H9)</x:f>
      </x:c>
      <x:c r="Q9" s="60" t="str">
        <x:f>IF(A9="","",Q8+COUNTIFS(Kampregistrering!$AG$10:$AG$209,O9,Kampregistrering!$G$10:$G$209,"Single",Kampregistrering!$AK$10:$AK$209,1))</x:f>
      </x:c>
      <x:c r="R9" s="60" t="str">
        <x:f>IF(A9="","",R8+I9)</x:f>
      </x:c>
      <x:c r="S9" s="60" t="str">
        <x:f>IF(A9="","",S8+COUNTIFS(Kampregistrering!$AG$10:$AG$209,O9,Kampregistrering!$G$10:$G$209,"Double",Kampregistrering!$AK$10:$AK$209,1))</x:f>
      </x:c>
      <x:c r="T9" s="60" t="str">
        <x:f>IF(A9="","",T8+J9)</x:f>
      </x:c>
      <x:c r="U9" s="60" t="str">
        <x:f>IF(A9="","",U8+COUNTIFS(Kampregistrering!$AG$10:$AG$209,O9,Kampregistrering!$G$10:$G$209,"Mix",Kampregistrering!$AK$10:$AK$209,1))</x:f>
      </x:c>
      <x:c r="V9" t="str">
        <x:f>IF(A9="","",ROUND(((P9*Q9+R9*S9+T9*U9)/(Q9+S9+U9))+IF((MAX(P9,R9,T9)-(P9+R9+T9-MAX(P9,R9,T9)-MIN(P9,R9,T9)))&lt;'Model &amp; indstillinger'!$E$16,'Model &amp; indstillinger'!$E$18,'Model &amp; indstillinger'!$E$20)*(MAX(P9,R9,T9)-((P9*Q9+R9*S9+T9*U9)/(Q9+S9+U9))),0))</x:f>
      </x:c>
      <x:c r="W9" t="str">
        <x:f>IF(A9="","",V8)</x:f>
      </x:c>
    </x:row>
    <x:row r="10">
      <x:c r="A10" s="77" t="str">
        <x:f>IF(O10&gt;MAX(Kampregistrering!$AG$10:$AG$209),"",VLOOKUP(O10,Kampregistrering!$AQ$10:$AS$209,2,FALSE))</x:f>
      </x:c>
      <x:c r="B10" s="81" t="str">
        <x:f>IF(A10="","",VLOOKUP(O10,Kampregistrering!$AQ$10:$AS$209,3,FALSE))</x:f>
      </x:c>
      <x:c r="C10" s="95" t="str">
        <x:f>IF(A10="","",IF(O10&lt;MAX(Kampregistrering!$AG$10:$AG$209),"Afsluttet","I gang"))</x:f>
      </x:c>
      <x:c r="D10" s="81" t="str">
        <x:f>IF(A10="","",COUNTIFS(Kampregistrering!$AG$10:$AG$209,O10,Kampregistrering!$AK$10:$AK$209,1))</x:f>
      </x:c>
      <x:c r="E10" s="81" t="str">
        <x:f>IF(A10="","",COUNTIFS(Kampregistrering!$AG$10:$AG$209,O10,Kampregistrering!$H$10:$H$209,"Vundet"))</x:f>
      </x:c>
      <x:c r="F10" s="81" t="str">
        <x:f>IF(A10="","",COUNTIFS(Kampregistrering!$AG$10:$AG$209,O10,Kampregistrering!$H$10:$H$209,"Tabt"))</x:f>
      </x:c>
      <x:c r="G10" s="81" t="str">
        <x:f>IF(A10="","",COUNTIFS(Kampregistrering!$AG$10:$AG$209,O10,Kampregistrering!$H$10:$H$209,"Ikke spillet"))</x:f>
      </x:c>
      <x:c r="H10" s="125" t="str">
        <x:f>IF(A10="","",SUMIFS(Kampregistrering!$U$10:$U$209,Kampregistrering!$AG$10:$AG$209,O10,Kampregistrering!$G$10:$G$209,"Single"))</x:f>
      </x:c>
      <x:c r="I10" s="125" t="str">
        <x:f>IF(A10="","",SUMIFS(Kampregistrering!$U$10:$U$209,Kampregistrering!$AG$10:$AG$209,O10,Kampregistrering!$G$10:$G$209,"Double"))</x:f>
      </x:c>
      <x:c r="J10" s="125" t="str">
        <x:f>IF(A10="","",SUMIFS(Kampregistrering!$U$10:$U$209,Kampregistrering!$AG$10:$AG$209,O10,Kampregistrering!$G$10:$G$209,"Mix"))</x:f>
      </x:c>
      <x:c r="K10" s="125" t="str">
        <x:f>IF(A10="","",H10+I10+J10)</x:f>
      </x:c>
      <x:c r="L10" s="125" t="str">
        <x:f>IF(A10="","",W10)</x:f>
      </x:c>
      <x:c r="M10" s="125" t="str">
        <x:f>IF(A10="","",V10)</x:f>
      </x:c>
      <x:c r="N10" s="125" t="str">
        <x:f>IF(A10="","",M10-L10)</x:f>
      </x:c>
      <x:c r="O10" s="60" t="n">
        <x:v>6</x:v>
      </x:c>
      <x:c r="P10" s="60" t="str">
        <x:f>IF(A10="","",P9+H10)</x:f>
      </x:c>
      <x:c r="Q10" s="60" t="str">
        <x:f>IF(A10="","",Q9+COUNTIFS(Kampregistrering!$AG$10:$AG$209,O10,Kampregistrering!$G$10:$G$209,"Single",Kampregistrering!$AK$10:$AK$209,1))</x:f>
      </x:c>
      <x:c r="R10" s="60" t="str">
        <x:f>IF(A10="","",R9+I10)</x:f>
      </x:c>
      <x:c r="S10" s="60" t="str">
        <x:f>IF(A10="","",S9+COUNTIFS(Kampregistrering!$AG$10:$AG$209,O10,Kampregistrering!$G$10:$G$209,"Double",Kampregistrering!$AK$10:$AK$209,1))</x:f>
      </x:c>
      <x:c r="T10" s="60" t="str">
        <x:f>IF(A10="","",T9+J10)</x:f>
      </x:c>
      <x:c r="U10" s="60" t="str">
        <x:f>IF(A10="","",U9+COUNTIFS(Kampregistrering!$AG$10:$AG$209,O10,Kampregistrering!$G$10:$G$209,"Mix",Kampregistrering!$AK$10:$AK$209,1))</x:f>
      </x:c>
      <x:c r="V10" t="str">
        <x:f>IF(A10="","",ROUND(((P10*Q10+R10*S10+T10*U10)/(Q10+S10+U10))+IF((MAX(P10,R10,T10)-(P10+R10+T10-MAX(P10,R10,T10)-MIN(P10,R10,T10)))&lt;'Model &amp; indstillinger'!$E$16,'Model &amp; indstillinger'!$E$18,'Model &amp; indstillinger'!$E$20)*(MAX(P10,R10,T10)-((P10*Q10+R10*S10+T10*U10)/(Q10+S10+U10))),0))</x:f>
      </x:c>
      <x:c r="W10" t="str">
        <x:f>IF(A10="","",V9)</x:f>
      </x:c>
    </x:row>
    <x:row r="11">
      <x:c r="A11" s="77" t="str">
        <x:f>IF(O11&gt;MAX(Kampregistrering!$AG$10:$AG$209),"",VLOOKUP(O11,Kampregistrering!$AQ$10:$AS$209,2,FALSE))</x:f>
      </x:c>
      <x:c r="B11" s="81" t="str">
        <x:f>IF(A11="","",VLOOKUP(O11,Kampregistrering!$AQ$10:$AS$209,3,FALSE))</x:f>
      </x:c>
      <x:c r="C11" s="95" t="str">
        <x:f>IF(A11="","",IF(O11&lt;MAX(Kampregistrering!$AG$10:$AG$209),"Afsluttet","I gang"))</x:f>
      </x:c>
      <x:c r="D11" s="81" t="str">
        <x:f>IF(A11="","",COUNTIFS(Kampregistrering!$AG$10:$AG$209,O11,Kampregistrering!$AK$10:$AK$209,1))</x:f>
      </x:c>
      <x:c r="E11" s="81" t="str">
        <x:f>IF(A11="","",COUNTIFS(Kampregistrering!$AG$10:$AG$209,O11,Kampregistrering!$H$10:$H$209,"Vundet"))</x:f>
      </x:c>
      <x:c r="F11" s="81" t="str">
        <x:f>IF(A11="","",COUNTIFS(Kampregistrering!$AG$10:$AG$209,O11,Kampregistrering!$H$10:$H$209,"Tabt"))</x:f>
      </x:c>
      <x:c r="G11" s="81" t="str">
        <x:f>IF(A11="","",COUNTIFS(Kampregistrering!$AG$10:$AG$209,O11,Kampregistrering!$H$10:$H$209,"Ikke spillet"))</x:f>
      </x:c>
      <x:c r="H11" s="125" t="str">
        <x:f>IF(A11="","",SUMIFS(Kampregistrering!$U$10:$U$209,Kampregistrering!$AG$10:$AG$209,O11,Kampregistrering!$G$10:$G$209,"Single"))</x:f>
      </x:c>
      <x:c r="I11" s="125" t="str">
        <x:f>IF(A11="","",SUMIFS(Kampregistrering!$U$10:$U$209,Kampregistrering!$AG$10:$AG$209,O11,Kampregistrering!$G$10:$G$209,"Double"))</x:f>
      </x:c>
      <x:c r="J11" s="125" t="str">
        <x:f>IF(A11="","",SUMIFS(Kampregistrering!$U$10:$U$209,Kampregistrering!$AG$10:$AG$209,O11,Kampregistrering!$G$10:$G$209,"Mix"))</x:f>
      </x:c>
      <x:c r="K11" s="125" t="str">
        <x:f>IF(A11="","",H11+I11+J11)</x:f>
      </x:c>
      <x:c r="L11" s="125" t="str">
        <x:f>IF(A11="","",W11)</x:f>
      </x:c>
      <x:c r="M11" s="125" t="str">
        <x:f>IF(A11="","",V11)</x:f>
      </x:c>
      <x:c r="N11" s="125" t="str">
        <x:f>IF(A11="","",M11-L11)</x:f>
      </x:c>
      <x:c r="O11" s="60" t="n">
        <x:v>7</x:v>
      </x:c>
      <x:c r="P11" s="60" t="str">
        <x:f>IF(A11="","",P10+H11)</x:f>
      </x:c>
      <x:c r="Q11" s="60" t="str">
        <x:f>IF(A11="","",Q10+COUNTIFS(Kampregistrering!$AG$10:$AG$209,O11,Kampregistrering!$G$10:$G$209,"Single",Kampregistrering!$AK$10:$AK$209,1))</x:f>
      </x:c>
      <x:c r="R11" s="60" t="str">
        <x:f>IF(A11="","",R10+I11)</x:f>
      </x:c>
      <x:c r="S11" s="60" t="str">
        <x:f>IF(A11="","",S10+COUNTIFS(Kampregistrering!$AG$10:$AG$209,O11,Kampregistrering!$G$10:$G$209,"Double",Kampregistrering!$AK$10:$AK$209,1))</x:f>
      </x:c>
      <x:c r="T11" s="60" t="str">
        <x:f>IF(A11="","",T10+J11)</x:f>
      </x:c>
      <x:c r="U11" s="60" t="str">
        <x:f>IF(A11="","",U10+COUNTIFS(Kampregistrering!$AG$10:$AG$209,O11,Kampregistrering!$G$10:$G$209,"Mix",Kampregistrering!$AK$10:$AK$209,1))</x:f>
      </x:c>
      <x:c r="V11" t="str">
        <x:f>IF(A11="","",ROUND(((P11*Q11+R11*S11+T11*U11)/(Q11+S11+U11))+IF((MAX(P11,R11,T11)-(P11+R11+T11-MAX(P11,R11,T11)-MIN(P11,R11,T11)))&lt;'Model &amp; indstillinger'!$E$16,'Model &amp; indstillinger'!$E$18,'Model &amp; indstillinger'!$E$20)*(MAX(P11,R11,T11)-((P11*Q11+R11*S11+T11*U11)/(Q11+S11+U11))),0))</x:f>
      </x:c>
      <x:c r="W11" t="str">
        <x:f>IF(A11="","",V10)</x:f>
      </x:c>
    </x:row>
    <x:row r="12">
      <x:c r="A12" s="77" t="str">
        <x:f>IF(O12&gt;MAX(Kampregistrering!$AG$10:$AG$209),"",VLOOKUP(O12,Kampregistrering!$AQ$10:$AS$209,2,FALSE))</x:f>
      </x:c>
      <x:c r="B12" s="81" t="str">
        <x:f>IF(A12="","",VLOOKUP(O12,Kampregistrering!$AQ$10:$AS$209,3,FALSE))</x:f>
      </x:c>
      <x:c r="C12" s="95" t="str">
        <x:f>IF(A12="","",IF(O12&lt;MAX(Kampregistrering!$AG$10:$AG$209),"Afsluttet","I gang"))</x:f>
      </x:c>
      <x:c r="D12" s="81" t="str">
        <x:f>IF(A12="","",COUNTIFS(Kampregistrering!$AG$10:$AG$209,O12,Kampregistrering!$AK$10:$AK$209,1))</x:f>
      </x:c>
      <x:c r="E12" s="81" t="str">
        <x:f>IF(A12="","",COUNTIFS(Kampregistrering!$AG$10:$AG$209,O12,Kampregistrering!$H$10:$H$209,"Vundet"))</x:f>
      </x:c>
      <x:c r="F12" s="81" t="str">
        <x:f>IF(A12="","",COUNTIFS(Kampregistrering!$AG$10:$AG$209,O12,Kampregistrering!$H$10:$H$209,"Tabt"))</x:f>
      </x:c>
      <x:c r="G12" s="81" t="str">
        <x:f>IF(A12="","",COUNTIFS(Kampregistrering!$AG$10:$AG$209,O12,Kampregistrering!$H$10:$H$209,"Ikke spillet"))</x:f>
      </x:c>
      <x:c r="H12" s="125" t="str">
        <x:f>IF(A12="","",SUMIFS(Kampregistrering!$U$10:$U$209,Kampregistrering!$AG$10:$AG$209,O12,Kampregistrering!$G$10:$G$209,"Single"))</x:f>
      </x:c>
      <x:c r="I12" s="125" t="str">
        <x:f>IF(A12="","",SUMIFS(Kampregistrering!$U$10:$U$209,Kampregistrering!$AG$10:$AG$209,O12,Kampregistrering!$G$10:$G$209,"Double"))</x:f>
      </x:c>
      <x:c r="J12" s="125" t="str">
        <x:f>IF(A12="","",SUMIFS(Kampregistrering!$U$10:$U$209,Kampregistrering!$AG$10:$AG$209,O12,Kampregistrering!$G$10:$G$209,"Mix"))</x:f>
      </x:c>
      <x:c r="K12" s="125" t="str">
        <x:f>IF(A12="","",H12+I12+J12)</x:f>
      </x:c>
      <x:c r="L12" s="125" t="str">
        <x:f>IF(A12="","",W12)</x:f>
      </x:c>
      <x:c r="M12" s="125" t="str">
        <x:f>IF(A12="","",V12)</x:f>
      </x:c>
      <x:c r="N12" s="125" t="str">
        <x:f>IF(A12="","",M12-L12)</x:f>
      </x:c>
      <x:c r="O12" s="60" t="n">
        <x:v>8</x:v>
      </x:c>
      <x:c r="P12" s="60" t="str">
        <x:f>IF(A12="","",P11+H12)</x:f>
      </x:c>
      <x:c r="Q12" s="60" t="str">
        <x:f>IF(A12="","",Q11+COUNTIFS(Kampregistrering!$AG$10:$AG$209,O12,Kampregistrering!$G$10:$G$209,"Single",Kampregistrering!$AK$10:$AK$209,1))</x:f>
      </x:c>
      <x:c r="R12" s="60" t="str">
        <x:f>IF(A12="","",R11+I12)</x:f>
      </x:c>
      <x:c r="S12" s="60" t="str">
        <x:f>IF(A12="","",S11+COUNTIFS(Kampregistrering!$AG$10:$AG$209,O12,Kampregistrering!$G$10:$G$209,"Double",Kampregistrering!$AK$10:$AK$209,1))</x:f>
      </x:c>
      <x:c r="T12" s="60" t="str">
        <x:f>IF(A12="","",T11+J12)</x:f>
      </x:c>
      <x:c r="U12" s="60" t="str">
        <x:f>IF(A12="","",U11+COUNTIFS(Kampregistrering!$AG$10:$AG$209,O12,Kampregistrering!$G$10:$G$209,"Mix",Kampregistrering!$AK$10:$AK$209,1))</x:f>
      </x:c>
      <x:c r="V12" t="str">
        <x:f>IF(A12="","",ROUND(((P12*Q12+R12*S12+T12*U12)/(Q12+S12+U12))+IF((MAX(P12,R12,T12)-(P12+R12+T12-MAX(P12,R12,T12)-MIN(P12,R12,T12)))&lt;'Model &amp; indstillinger'!$E$16,'Model &amp; indstillinger'!$E$18,'Model &amp; indstillinger'!$E$20)*(MAX(P12,R12,T12)-((P12*Q12+R12*S12+T12*U12)/(Q12+S12+U12))),0))</x:f>
      </x:c>
      <x:c r="W12" t="str">
        <x:f>IF(A12="","",V11)</x:f>
      </x:c>
    </x:row>
    <x:row r="13">
      <x:c r="A13" s="77" t="str">
        <x:f>IF(O13&gt;MAX(Kampregistrering!$AG$10:$AG$209),"",VLOOKUP(O13,Kampregistrering!$AQ$10:$AS$209,2,FALSE))</x:f>
      </x:c>
      <x:c r="B13" s="81" t="str">
        <x:f>IF(A13="","",VLOOKUP(O13,Kampregistrering!$AQ$10:$AS$209,3,FALSE))</x:f>
      </x:c>
      <x:c r="C13" s="95" t="str">
        <x:f>IF(A13="","",IF(O13&lt;MAX(Kampregistrering!$AG$10:$AG$209),"Afsluttet","I gang"))</x:f>
      </x:c>
      <x:c r="D13" s="81" t="str">
        <x:f>IF(A13="","",COUNTIFS(Kampregistrering!$AG$10:$AG$209,O13,Kampregistrering!$AK$10:$AK$209,1))</x:f>
      </x:c>
      <x:c r="E13" s="81" t="str">
        <x:f>IF(A13="","",COUNTIFS(Kampregistrering!$AG$10:$AG$209,O13,Kampregistrering!$H$10:$H$209,"Vundet"))</x:f>
      </x:c>
      <x:c r="F13" s="81" t="str">
        <x:f>IF(A13="","",COUNTIFS(Kampregistrering!$AG$10:$AG$209,O13,Kampregistrering!$H$10:$H$209,"Tabt"))</x:f>
      </x:c>
      <x:c r="G13" s="81" t="str">
        <x:f>IF(A13="","",COUNTIFS(Kampregistrering!$AG$10:$AG$209,O13,Kampregistrering!$H$10:$H$209,"Ikke spillet"))</x:f>
      </x:c>
      <x:c r="H13" s="125" t="str">
        <x:f>IF(A13="","",SUMIFS(Kampregistrering!$U$10:$U$209,Kampregistrering!$AG$10:$AG$209,O13,Kampregistrering!$G$10:$G$209,"Single"))</x:f>
      </x:c>
      <x:c r="I13" s="125" t="str">
        <x:f>IF(A13="","",SUMIFS(Kampregistrering!$U$10:$U$209,Kampregistrering!$AG$10:$AG$209,O13,Kampregistrering!$G$10:$G$209,"Double"))</x:f>
      </x:c>
      <x:c r="J13" s="125" t="str">
        <x:f>IF(A13="","",SUMIFS(Kampregistrering!$U$10:$U$209,Kampregistrering!$AG$10:$AG$209,O13,Kampregistrering!$G$10:$G$209,"Mix"))</x:f>
      </x:c>
      <x:c r="K13" s="125" t="str">
        <x:f>IF(A13="","",H13+I13+J13)</x:f>
      </x:c>
      <x:c r="L13" s="125" t="str">
        <x:f>IF(A13="","",W13)</x:f>
      </x:c>
      <x:c r="M13" s="125" t="str">
        <x:f>IF(A13="","",V13)</x:f>
      </x:c>
      <x:c r="N13" s="125" t="str">
        <x:f>IF(A13="","",M13-L13)</x:f>
      </x:c>
      <x:c r="O13" s="60" t="n">
        <x:v>9</x:v>
      </x:c>
      <x:c r="P13" s="60" t="str">
        <x:f>IF(A13="","",P12+H13)</x:f>
      </x:c>
      <x:c r="Q13" s="60" t="str">
        <x:f>IF(A13="","",Q12+COUNTIFS(Kampregistrering!$AG$10:$AG$209,O13,Kampregistrering!$G$10:$G$209,"Single",Kampregistrering!$AK$10:$AK$209,1))</x:f>
      </x:c>
      <x:c r="R13" s="60" t="str">
        <x:f>IF(A13="","",R12+I13)</x:f>
      </x:c>
      <x:c r="S13" s="60" t="str">
        <x:f>IF(A13="","",S12+COUNTIFS(Kampregistrering!$AG$10:$AG$209,O13,Kampregistrering!$G$10:$G$209,"Double",Kampregistrering!$AK$10:$AK$209,1))</x:f>
      </x:c>
      <x:c r="T13" s="60" t="str">
        <x:f>IF(A13="","",T12+J13)</x:f>
      </x:c>
      <x:c r="U13" s="60" t="str">
        <x:f>IF(A13="","",U12+COUNTIFS(Kampregistrering!$AG$10:$AG$209,O13,Kampregistrering!$G$10:$G$209,"Mix",Kampregistrering!$AK$10:$AK$209,1))</x:f>
      </x:c>
      <x:c r="V13" t="str">
        <x:f>IF(A13="","",ROUND(((P13*Q13+R13*S13+T13*U13)/(Q13+S13+U13))+IF((MAX(P13,R13,T13)-(P13+R13+T13-MAX(P13,R13,T13)-MIN(P13,R13,T13)))&lt;'Model &amp; indstillinger'!$E$16,'Model &amp; indstillinger'!$E$18,'Model &amp; indstillinger'!$E$20)*(MAX(P13,R13,T13)-((P13*Q13+R13*S13+T13*U13)/(Q13+S13+U13))),0))</x:f>
      </x:c>
      <x:c r="W13" t="str">
        <x:f>IF(A13="","",V12)</x:f>
      </x:c>
    </x:row>
    <x:row r="14">
      <x:c r="A14" s="77" t="str">
        <x:f>IF(O14&gt;MAX(Kampregistrering!$AG$10:$AG$209),"",VLOOKUP(O14,Kampregistrering!$AQ$10:$AS$209,2,FALSE))</x:f>
      </x:c>
      <x:c r="B14" s="81" t="str">
        <x:f>IF(A14="","",VLOOKUP(O14,Kampregistrering!$AQ$10:$AS$209,3,FALSE))</x:f>
      </x:c>
      <x:c r="C14" s="95" t="str">
        <x:f>IF(A14="","",IF(O14&lt;MAX(Kampregistrering!$AG$10:$AG$209),"Afsluttet","I gang"))</x:f>
      </x:c>
      <x:c r="D14" s="81" t="str">
        <x:f>IF(A14="","",COUNTIFS(Kampregistrering!$AG$10:$AG$209,O14,Kampregistrering!$AK$10:$AK$209,1))</x:f>
      </x:c>
      <x:c r="E14" s="81" t="str">
        <x:f>IF(A14="","",COUNTIFS(Kampregistrering!$AG$10:$AG$209,O14,Kampregistrering!$H$10:$H$209,"Vundet"))</x:f>
      </x:c>
      <x:c r="F14" s="81" t="str">
        <x:f>IF(A14="","",COUNTIFS(Kampregistrering!$AG$10:$AG$209,O14,Kampregistrering!$H$10:$H$209,"Tabt"))</x:f>
      </x:c>
      <x:c r="G14" s="81" t="str">
        <x:f>IF(A14="","",COUNTIFS(Kampregistrering!$AG$10:$AG$209,O14,Kampregistrering!$H$10:$H$209,"Ikke spillet"))</x:f>
      </x:c>
      <x:c r="H14" s="125" t="str">
        <x:f>IF(A14="","",SUMIFS(Kampregistrering!$U$10:$U$209,Kampregistrering!$AG$10:$AG$209,O14,Kampregistrering!$G$10:$G$209,"Single"))</x:f>
      </x:c>
      <x:c r="I14" s="125" t="str">
        <x:f>IF(A14="","",SUMIFS(Kampregistrering!$U$10:$U$209,Kampregistrering!$AG$10:$AG$209,O14,Kampregistrering!$G$10:$G$209,"Double"))</x:f>
      </x:c>
      <x:c r="J14" s="125" t="str">
        <x:f>IF(A14="","",SUMIFS(Kampregistrering!$U$10:$U$209,Kampregistrering!$AG$10:$AG$209,O14,Kampregistrering!$G$10:$G$209,"Mix"))</x:f>
      </x:c>
      <x:c r="K14" s="125" t="str">
        <x:f>IF(A14="","",H14+I14+J14)</x:f>
      </x:c>
      <x:c r="L14" s="125" t="str">
        <x:f>IF(A14="","",W14)</x:f>
      </x:c>
      <x:c r="M14" s="125" t="str">
        <x:f>IF(A14="","",V14)</x:f>
      </x:c>
      <x:c r="N14" s="125" t="str">
        <x:f>IF(A14="","",M14-L14)</x:f>
      </x:c>
      <x:c r="O14" s="60" t="n">
        <x:v>10</x:v>
      </x:c>
      <x:c r="P14" s="60" t="str">
        <x:f>IF(A14="","",P13+H14)</x:f>
      </x:c>
      <x:c r="Q14" s="60" t="str">
        <x:f>IF(A14="","",Q13+COUNTIFS(Kampregistrering!$AG$10:$AG$209,O14,Kampregistrering!$G$10:$G$209,"Single",Kampregistrering!$AK$10:$AK$209,1))</x:f>
      </x:c>
      <x:c r="R14" s="60" t="str">
        <x:f>IF(A14="","",R13+I14)</x:f>
      </x:c>
      <x:c r="S14" s="60" t="str">
        <x:f>IF(A14="","",S13+COUNTIFS(Kampregistrering!$AG$10:$AG$209,O14,Kampregistrering!$G$10:$G$209,"Double",Kampregistrering!$AK$10:$AK$209,1))</x:f>
      </x:c>
      <x:c r="T14" s="60" t="str">
        <x:f>IF(A14="","",T13+J14)</x:f>
      </x:c>
      <x:c r="U14" s="60" t="str">
        <x:f>IF(A14="","",U13+COUNTIFS(Kampregistrering!$AG$10:$AG$209,O14,Kampregistrering!$G$10:$G$209,"Mix",Kampregistrering!$AK$10:$AK$209,1))</x:f>
      </x:c>
      <x:c r="V14" t="str">
        <x:f>IF(A14="","",ROUND(((P14*Q14+R14*S14+T14*U14)/(Q14+S14+U14))+IF((MAX(P14,R14,T14)-(P14+R14+T14-MAX(P14,R14,T14)-MIN(P14,R14,T14)))&lt;'Model &amp; indstillinger'!$E$16,'Model &amp; indstillinger'!$E$18,'Model &amp; indstillinger'!$E$20)*(MAX(P14,R14,T14)-((P14*Q14+R14*S14+T14*U14)/(Q14+S14+U14))),0))</x:f>
      </x:c>
      <x:c r="W14" t="str">
        <x:f>IF(A14="","",V13)</x:f>
      </x:c>
    </x:row>
    <x:row r="15">
      <x:c r="A15" s="77" t="str">
        <x:f>IF(O15&gt;MAX(Kampregistrering!$AG$10:$AG$209),"",VLOOKUP(O15,Kampregistrering!$AQ$10:$AS$209,2,FALSE))</x:f>
      </x:c>
      <x:c r="B15" s="81" t="str">
        <x:f>IF(A15="","",VLOOKUP(O15,Kampregistrering!$AQ$10:$AS$209,3,FALSE))</x:f>
      </x:c>
      <x:c r="C15" s="95" t="str">
        <x:f>IF(A15="","",IF(O15&lt;MAX(Kampregistrering!$AG$10:$AG$209),"Afsluttet","I gang"))</x:f>
      </x:c>
      <x:c r="D15" s="81" t="str">
        <x:f>IF(A15="","",COUNTIFS(Kampregistrering!$AG$10:$AG$209,O15,Kampregistrering!$AK$10:$AK$209,1))</x:f>
      </x:c>
      <x:c r="E15" s="81" t="str">
        <x:f>IF(A15="","",COUNTIFS(Kampregistrering!$AG$10:$AG$209,O15,Kampregistrering!$H$10:$H$209,"Vundet"))</x:f>
      </x:c>
      <x:c r="F15" s="81" t="str">
        <x:f>IF(A15="","",COUNTIFS(Kampregistrering!$AG$10:$AG$209,O15,Kampregistrering!$H$10:$H$209,"Tabt"))</x:f>
      </x:c>
      <x:c r="G15" s="81" t="str">
        <x:f>IF(A15="","",COUNTIFS(Kampregistrering!$AG$10:$AG$209,O15,Kampregistrering!$H$10:$H$209,"Ikke spillet"))</x:f>
      </x:c>
      <x:c r="H15" s="125" t="str">
        <x:f>IF(A15="","",SUMIFS(Kampregistrering!$U$10:$U$209,Kampregistrering!$AG$10:$AG$209,O15,Kampregistrering!$G$10:$G$209,"Single"))</x:f>
      </x:c>
      <x:c r="I15" s="125" t="str">
        <x:f>IF(A15="","",SUMIFS(Kampregistrering!$U$10:$U$209,Kampregistrering!$AG$10:$AG$209,O15,Kampregistrering!$G$10:$G$209,"Double"))</x:f>
      </x:c>
      <x:c r="J15" s="125" t="str">
        <x:f>IF(A15="","",SUMIFS(Kampregistrering!$U$10:$U$209,Kampregistrering!$AG$10:$AG$209,O15,Kampregistrering!$G$10:$G$209,"Mix"))</x:f>
      </x:c>
      <x:c r="K15" s="125" t="str">
        <x:f>IF(A15="","",H15+I15+J15)</x:f>
      </x:c>
      <x:c r="L15" s="125" t="str">
        <x:f>IF(A15="","",W15)</x:f>
      </x:c>
      <x:c r="M15" s="125" t="str">
        <x:f>IF(A15="","",V15)</x:f>
      </x:c>
      <x:c r="N15" s="125" t="str">
        <x:f>IF(A15="","",M15-L15)</x:f>
      </x:c>
      <x:c r="O15" s="60" t="n">
        <x:v>11</x:v>
      </x:c>
      <x:c r="P15" s="60" t="str">
        <x:f>IF(A15="","",P14+H15)</x:f>
      </x:c>
      <x:c r="Q15" s="60" t="str">
        <x:f>IF(A15="","",Q14+COUNTIFS(Kampregistrering!$AG$10:$AG$209,O15,Kampregistrering!$G$10:$G$209,"Single",Kampregistrering!$AK$10:$AK$209,1))</x:f>
      </x:c>
      <x:c r="R15" s="60" t="str">
        <x:f>IF(A15="","",R14+I15)</x:f>
      </x:c>
      <x:c r="S15" s="60" t="str">
        <x:f>IF(A15="","",S14+COUNTIFS(Kampregistrering!$AG$10:$AG$209,O15,Kampregistrering!$G$10:$G$209,"Double",Kampregistrering!$AK$10:$AK$209,1))</x:f>
      </x:c>
      <x:c r="T15" s="60" t="str">
        <x:f>IF(A15="","",T14+J15)</x:f>
      </x:c>
      <x:c r="U15" s="60" t="str">
        <x:f>IF(A15="","",U14+COUNTIFS(Kampregistrering!$AG$10:$AG$209,O15,Kampregistrering!$G$10:$G$209,"Mix",Kampregistrering!$AK$10:$AK$209,1))</x:f>
      </x:c>
      <x:c r="V15" t="str">
        <x:f>IF(A15="","",ROUND(((P15*Q15+R15*S15+T15*U15)/(Q15+S15+U15))+IF((MAX(P15,R15,T15)-(P15+R15+T15-MAX(P15,R15,T15)-MIN(P15,R15,T15)))&lt;'Model &amp; indstillinger'!$E$16,'Model &amp; indstillinger'!$E$18,'Model &amp; indstillinger'!$E$20)*(MAX(P15,R15,T15)-((P15*Q15+R15*S15+T15*U15)/(Q15+S15+U15))),0))</x:f>
      </x:c>
      <x:c r="W15" t="str">
        <x:f>IF(A15="","",V14)</x:f>
      </x:c>
    </x:row>
    <x:row r="16">
      <x:c r="A16" s="77" t="str">
        <x:f>IF(O16&gt;MAX(Kampregistrering!$AG$10:$AG$209),"",VLOOKUP(O16,Kampregistrering!$AQ$10:$AS$209,2,FALSE))</x:f>
      </x:c>
      <x:c r="B16" s="81" t="str">
        <x:f>IF(A16="","",VLOOKUP(O16,Kampregistrering!$AQ$10:$AS$209,3,FALSE))</x:f>
      </x:c>
      <x:c r="C16" s="95" t="str">
        <x:f>IF(A16="","",IF(O16&lt;MAX(Kampregistrering!$AG$10:$AG$209),"Afsluttet","I gang"))</x:f>
      </x:c>
      <x:c r="D16" s="81" t="str">
        <x:f>IF(A16="","",COUNTIFS(Kampregistrering!$AG$10:$AG$209,O16,Kampregistrering!$AK$10:$AK$209,1))</x:f>
      </x:c>
      <x:c r="E16" s="81" t="str">
        <x:f>IF(A16="","",COUNTIFS(Kampregistrering!$AG$10:$AG$209,O16,Kampregistrering!$H$10:$H$209,"Vundet"))</x:f>
      </x:c>
      <x:c r="F16" s="81" t="str">
        <x:f>IF(A16="","",COUNTIFS(Kampregistrering!$AG$10:$AG$209,O16,Kampregistrering!$H$10:$H$209,"Tabt"))</x:f>
      </x:c>
      <x:c r="G16" s="81" t="str">
        <x:f>IF(A16="","",COUNTIFS(Kampregistrering!$AG$10:$AG$209,O16,Kampregistrering!$H$10:$H$209,"Ikke spillet"))</x:f>
      </x:c>
      <x:c r="H16" s="125" t="str">
        <x:f>IF(A16="","",SUMIFS(Kampregistrering!$U$10:$U$209,Kampregistrering!$AG$10:$AG$209,O16,Kampregistrering!$G$10:$G$209,"Single"))</x:f>
      </x:c>
      <x:c r="I16" s="125" t="str">
        <x:f>IF(A16="","",SUMIFS(Kampregistrering!$U$10:$U$209,Kampregistrering!$AG$10:$AG$209,O16,Kampregistrering!$G$10:$G$209,"Double"))</x:f>
      </x:c>
      <x:c r="J16" s="125" t="str">
        <x:f>IF(A16="","",SUMIFS(Kampregistrering!$U$10:$U$209,Kampregistrering!$AG$10:$AG$209,O16,Kampregistrering!$G$10:$G$209,"Mix"))</x:f>
      </x:c>
      <x:c r="K16" s="125" t="str">
        <x:f>IF(A16="","",H16+I16+J16)</x:f>
      </x:c>
      <x:c r="L16" s="125" t="str">
        <x:f>IF(A16="","",W16)</x:f>
      </x:c>
      <x:c r="M16" s="125" t="str">
        <x:f>IF(A16="","",V16)</x:f>
      </x:c>
      <x:c r="N16" s="125" t="str">
        <x:f>IF(A16="","",M16-L16)</x:f>
      </x:c>
      <x:c r="O16" s="60" t="n">
        <x:v>12</x:v>
      </x:c>
      <x:c r="P16" s="60" t="str">
        <x:f>IF(A16="","",P15+H16)</x:f>
      </x:c>
      <x:c r="Q16" s="60" t="str">
        <x:f>IF(A16="","",Q15+COUNTIFS(Kampregistrering!$AG$10:$AG$209,O16,Kampregistrering!$G$10:$G$209,"Single",Kampregistrering!$AK$10:$AK$209,1))</x:f>
      </x:c>
      <x:c r="R16" s="60" t="str">
        <x:f>IF(A16="","",R15+I16)</x:f>
      </x:c>
      <x:c r="S16" s="60" t="str">
        <x:f>IF(A16="","",S15+COUNTIFS(Kampregistrering!$AG$10:$AG$209,O16,Kampregistrering!$G$10:$G$209,"Double",Kampregistrering!$AK$10:$AK$209,1))</x:f>
      </x:c>
      <x:c r="T16" s="60" t="str">
        <x:f>IF(A16="","",T15+J16)</x:f>
      </x:c>
      <x:c r="U16" s="60" t="str">
        <x:f>IF(A16="","",U15+COUNTIFS(Kampregistrering!$AG$10:$AG$209,O16,Kampregistrering!$G$10:$G$209,"Mix",Kampregistrering!$AK$10:$AK$209,1))</x:f>
      </x:c>
      <x:c r="V16" t="str">
        <x:f>IF(A16="","",ROUND(((P16*Q16+R16*S16+T16*U16)/(Q16+S16+U16))+IF((MAX(P16,R16,T16)-(P16+R16+T16-MAX(P16,R16,T16)-MIN(P16,R16,T16)))&lt;'Model &amp; indstillinger'!$E$16,'Model &amp; indstillinger'!$E$18,'Model &amp; indstillinger'!$E$20)*(MAX(P16,R16,T16)-((P16*Q16+R16*S16+T16*U16)/(Q16+S16+U16))),0))</x:f>
      </x:c>
      <x:c r="W16" t="str">
        <x:f>IF(A16="","",V15)</x:f>
      </x:c>
    </x:row>
    <x:row r="17">
      <x:c r="A17" s="77" t="str">
        <x:f>IF(O17&gt;MAX(Kampregistrering!$AG$10:$AG$209),"",VLOOKUP(O17,Kampregistrering!$AQ$10:$AS$209,2,FALSE))</x:f>
      </x:c>
      <x:c r="B17" s="81" t="str">
        <x:f>IF(A17="","",VLOOKUP(O17,Kampregistrering!$AQ$10:$AS$209,3,FALSE))</x:f>
      </x:c>
      <x:c r="C17" s="95" t="str">
        <x:f>IF(A17="","",IF(O17&lt;MAX(Kampregistrering!$AG$10:$AG$209),"Afsluttet","I gang"))</x:f>
      </x:c>
      <x:c r="D17" s="81" t="str">
        <x:f>IF(A17="","",COUNTIFS(Kampregistrering!$AG$10:$AG$209,O17,Kampregistrering!$AK$10:$AK$209,1))</x:f>
      </x:c>
      <x:c r="E17" s="81" t="str">
        <x:f>IF(A17="","",COUNTIFS(Kampregistrering!$AG$10:$AG$209,O17,Kampregistrering!$H$10:$H$209,"Vundet"))</x:f>
      </x:c>
      <x:c r="F17" s="81" t="str">
        <x:f>IF(A17="","",COUNTIFS(Kampregistrering!$AG$10:$AG$209,O17,Kampregistrering!$H$10:$H$209,"Tabt"))</x:f>
      </x:c>
      <x:c r="G17" s="81" t="str">
        <x:f>IF(A17="","",COUNTIFS(Kampregistrering!$AG$10:$AG$209,O17,Kampregistrering!$H$10:$H$209,"Ikke spillet"))</x:f>
      </x:c>
      <x:c r="H17" s="125" t="str">
        <x:f>IF(A17="","",SUMIFS(Kampregistrering!$U$10:$U$209,Kampregistrering!$AG$10:$AG$209,O17,Kampregistrering!$G$10:$G$209,"Single"))</x:f>
      </x:c>
      <x:c r="I17" s="125" t="str">
        <x:f>IF(A17="","",SUMIFS(Kampregistrering!$U$10:$U$209,Kampregistrering!$AG$10:$AG$209,O17,Kampregistrering!$G$10:$G$209,"Double"))</x:f>
      </x:c>
      <x:c r="J17" s="125" t="str">
        <x:f>IF(A17="","",SUMIFS(Kampregistrering!$U$10:$U$209,Kampregistrering!$AG$10:$AG$209,O17,Kampregistrering!$G$10:$G$209,"Mix"))</x:f>
      </x:c>
      <x:c r="K17" s="125" t="str">
        <x:f>IF(A17="","",H17+I17+J17)</x:f>
      </x:c>
      <x:c r="L17" s="125" t="str">
        <x:f>IF(A17="","",W17)</x:f>
      </x:c>
      <x:c r="M17" s="125" t="str">
        <x:f>IF(A17="","",V17)</x:f>
      </x:c>
      <x:c r="N17" s="125" t="str">
        <x:f>IF(A17="","",M17-L17)</x:f>
      </x:c>
      <x:c r="O17" s="60" t="n">
        <x:v>13</x:v>
      </x:c>
      <x:c r="P17" s="60" t="str">
        <x:f>IF(A17="","",P16+H17)</x:f>
      </x:c>
      <x:c r="Q17" s="60" t="str">
        <x:f>IF(A17="","",Q16+COUNTIFS(Kampregistrering!$AG$10:$AG$209,O17,Kampregistrering!$G$10:$G$209,"Single",Kampregistrering!$AK$10:$AK$209,1))</x:f>
      </x:c>
      <x:c r="R17" s="60" t="str">
        <x:f>IF(A17="","",R16+I17)</x:f>
      </x:c>
      <x:c r="S17" s="60" t="str">
        <x:f>IF(A17="","",S16+COUNTIFS(Kampregistrering!$AG$10:$AG$209,O17,Kampregistrering!$G$10:$G$209,"Double",Kampregistrering!$AK$10:$AK$209,1))</x:f>
      </x:c>
      <x:c r="T17" s="60" t="str">
        <x:f>IF(A17="","",T16+J17)</x:f>
      </x:c>
      <x:c r="U17" s="60" t="str">
        <x:f>IF(A17="","",U16+COUNTIFS(Kampregistrering!$AG$10:$AG$209,O17,Kampregistrering!$G$10:$G$209,"Mix",Kampregistrering!$AK$10:$AK$209,1))</x:f>
      </x:c>
      <x:c r="V17" t="str">
        <x:f>IF(A17="","",ROUND(((P17*Q17+R17*S17+T17*U17)/(Q17+S17+U17))+IF((MAX(P17,R17,T17)-(P17+R17+T17-MAX(P17,R17,T17)-MIN(P17,R17,T17)))&lt;'Model &amp; indstillinger'!$E$16,'Model &amp; indstillinger'!$E$18,'Model &amp; indstillinger'!$E$20)*(MAX(P17,R17,T17)-((P17*Q17+R17*S17+T17*U17)/(Q17+S17+U17))),0))</x:f>
      </x:c>
      <x:c r="W17" t="str">
        <x:f>IF(A17="","",V16)</x:f>
      </x:c>
    </x:row>
    <x:row r="18">
      <x:c r="A18" s="77" t="str">
        <x:f>IF(O18&gt;MAX(Kampregistrering!$AG$10:$AG$209),"",VLOOKUP(O18,Kampregistrering!$AQ$10:$AS$209,2,FALSE))</x:f>
      </x:c>
      <x:c r="B18" s="81" t="str">
        <x:f>IF(A18="","",VLOOKUP(O18,Kampregistrering!$AQ$10:$AS$209,3,FALSE))</x:f>
      </x:c>
      <x:c r="C18" s="95" t="str">
        <x:f>IF(A18="","",IF(O18&lt;MAX(Kampregistrering!$AG$10:$AG$209),"Afsluttet","I gang"))</x:f>
      </x:c>
      <x:c r="D18" s="81" t="str">
        <x:f>IF(A18="","",COUNTIFS(Kampregistrering!$AG$10:$AG$209,O18,Kampregistrering!$AK$10:$AK$209,1))</x:f>
      </x:c>
      <x:c r="E18" s="81" t="str">
        <x:f>IF(A18="","",COUNTIFS(Kampregistrering!$AG$10:$AG$209,O18,Kampregistrering!$H$10:$H$209,"Vundet"))</x:f>
      </x:c>
      <x:c r="F18" s="81" t="str">
        <x:f>IF(A18="","",COUNTIFS(Kampregistrering!$AG$10:$AG$209,O18,Kampregistrering!$H$10:$H$209,"Tabt"))</x:f>
      </x:c>
      <x:c r="G18" s="81" t="str">
        <x:f>IF(A18="","",COUNTIFS(Kampregistrering!$AG$10:$AG$209,O18,Kampregistrering!$H$10:$H$209,"Ikke spillet"))</x:f>
      </x:c>
      <x:c r="H18" s="125" t="str">
        <x:f>IF(A18="","",SUMIFS(Kampregistrering!$U$10:$U$209,Kampregistrering!$AG$10:$AG$209,O18,Kampregistrering!$G$10:$G$209,"Single"))</x:f>
      </x:c>
      <x:c r="I18" s="125" t="str">
        <x:f>IF(A18="","",SUMIFS(Kampregistrering!$U$10:$U$209,Kampregistrering!$AG$10:$AG$209,O18,Kampregistrering!$G$10:$G$209,"Double"))</x:f>
      </x:c>
      <x:c r="J18" s="125" t="str">
        <x:f>IF(A18="","",SUMIFS(Kampregistrering!$U$10:$U$209,Kampregistrering!$AG$10:$AG$209,O18,Kampregistrering!$G$10:$G$209,"Mix"))</x:f>
      </x:c>
      <x:c r="K18" s="125" t="str">
        <x:f>IF(A18="","",H18+I18+J18)</x:f>
      </x:c>
      <x:c r="L18" s="125" t="str">
        <x:f>IF(A18="","",W18)</x:f>
      </x:c>
      <x:c r="M18" s="125" t="str">
        <x:f>IF(A18="","",V18)</x:f>
      </x:c>
      <x:c r="N18" s="125" t="str">
        <x:f>IF(A18="","",M18-L18)</x:f>
      </x:c>
      <x:c r="O18" s="60" t="n">
        <x:v>14</x:v>
      </x:c>
      <x:c r="P18" s="60" t="str">
        <x:f>IF(A18="","",P17+H18)</x:f>
      </x:c>
      <x:c r="Q18" s="60" t="str">
        <x:f>IF(A18="","",Q17+COUNTIFS(Kampregistrering!$AG$10:$AG$209,O18,Kampregistrering!$G$10:$G$209,"Single",Kampregistrering!$AK$10:$AK$209,1))</x:f>
      </x:c>
      <x:c r="R18" s="60" t="str">
        <x:f>IF(A18="","",R17+I18)</x:f>
      </x:c>
      <x:c r="S18" s="60" t="str">
        <x:f>IF(A18="","",S17+COUNTIFS(Kampregistrering!$AG$10:$AG$209,O18,Kampregistrering!$G$10:$G$209,"Double",Kampregistrering!$AK$10:$AK$209,1))</x:f>
      </x:c>
      <x:c r="T18" s="60" t="str">
        <x:f>IF(A18="","",T17+J18)</x:f>
      </x:c>
      <x:c r="U18" s="60" t="str">
        <x:f>IF(A18="","",U17+COUNTIFS(Kampregistrering!$AG$10:$AG$209,O18,Kampregistrering!$G$10:$G$209,"Mix",Kampregistrering!$AK$10:$AK$209,1))</x:f>
      </x:c>
      <x:c r="V18" t="str">
        <x:f>IF(A18="","",ROUND(((P18*Q18+R18*S18+T18*U18)/(Q18+S18+U18))+IF((MAX(P18,R18,T18)-(P18+R18+T18-MAX(P18,R18,T18)-MIN(P18,R18,T18)))&lt;'Model &amp; indstillinger'!$E$16,'Model &amp; indstillinger'!$E$18,'Model &amp; indstillinger'!$E$20)*(MAX(P18,R18,T18)-((P18*Q18+R18*S18+T18*U18)/(Q18+S18+U18))),0))</x:f>
      </x:c>
      <x:c r="W18" t="str">
        <x:f>IF(A18="","",V17)</x:f>
      </x:c>
    </x:row>
    <x:row r="19">
      <x:c r="A19" s="77" t="str">
        <x:f>IF(O19&gt;MAX(Kampregistrering!$AG$10:$AG$209),"",VLOOKUP(O19,Kampregistrering!$AQ$10:$AS$209,2,FALSE))</x:f>
      </x:c>
      <x:c r="B19" s="81" t="str">
        <x:f>IF(A19="","",VLOOKUP(O19,Kampregistrering!$AQ$10:$AS$209,3,FALSE))</x:f>
      </x:c>
      <x:c r="C19" s="95" t="str">
        <x:f>IF(A19="","",IF(O19&lt;MAX(Kampregistrering!$AG$10:$AG$209),"Afsluttet","I gang"))</x:f>
      </x:c>
      <x:c r="D19" s="81" t="str">
        <x:f>IF(A19="","",COUNTIFS(Kampregistrering!$AG$10:$AG$209,O19,Kampregistrering!$AK$10:$AK$209,1))</x:f>
      </x:c>
      <x:c r="E19" s="81" t="str">
        <x:f>IF(A19="","",COUNTIFS(Kampregistrering!$AG$10:$AG$209,O19,Kampregistrering!$H$10:$H$209,"Vundet"))</x:f>
      </x:c>
      <x:c r="F19" s="81" t="str">
        <x:f>IF(A19="","",COUNTIFS(Kampregistrering!$AG$10:$AG$209,O19,Kampregistrering!$H$10:$H$209,"Tabt"))</x:f>
      </x:c>
      <x:c r="G19" s="81" t="str">
        <x:f>IF(A19="","",COUNTIFS(Kampregistrering!$AG$10:$AG$209,O19,Kampregistrering!$H$10:$H$209,"Ikke spillet"))</x:f>
      </x:c>
      <x:c r="H19" s="125" t="str">
        <x:f>IF(A19="","",SUMIFS(Kampregistrering!$U$10:$U$209,Kampregistrering!$AG$10:$AG$209,O19,Kampregistrering!$G$10:$G$209,"Single"))</x:f>
      </x:c>
      <x:c r="I19" s="125" t="str">
        <x:f>IF(A19="","",SUMIFS(Kampregistrering!$U$10:$U$209,Kampregistrering!$AG$10:$AG$209,O19,Kampregistrering!$G$10:$G$209,"Double"))</x:f>
      </x:c>
      <x:c r="J19" s="125" t="str">
        <x:f>IF(A19="","",SUMIFS(Kampregistrering!$U$10:$U$209,Kampregistrering!$AG$10:$AG$209,O19,Kampregistrering!$G$10:$G$209,"Mix"))</x:f>
      </x:c>
      <x:c r="K19" s="125" t="str">
        <x:f>IF(A19="","",H19+I19+J19)</x:f>
      </x:c>
      <x:c r="L19" s="125" t="str">
        <x:f>IF(A19="","",W19)</x:f>
      </x:c>
      <x:c r="M19" s="125" t="str">
        <x:f>IF(A19="","",V19)</x:f>
      </x:c>
      <x:c r="N19" s="125" t="str">
        <x:f>IF(A19="","",M19-L19)</x:f>
      </x:c>
      <x:c r="O19" s="60" t="n">
        <x:v>15</x:v>
      </x:c>
      <x:c r="P19" s="60" t="str">
        <x:f>IF(A19="","",P18+H19)</x:f>
      </x:c>
      <x:c r="Q19" s="60" t="str">
        <x:f>IF(A19="","",Q18+COUNTIFS(Kampregistrering!$AG$10:$AG$209,O19,Kampregistrering!$G$10:$G$209,"Single",Kampregistrering!$AK$10:$AK$209,1))</x:f>
      </x:c>
      <x:c r="R19" s="60" t="str">
        <x:f>IF(A19="","",R18+I19)</x:f>
      </x:c>
      <x:c r="S19" s="60" t="str">
        <x:f>IF(A19="","",S18+COUNTIFS(Kampregistrering!$AG$10:$AG$209,O19,Kampregistrering!$G$10:$G$209,"Double",Kampregistrering!$AK$10:$AK$209,1))</x:f>
      </x:c>
      <x:c r="T19" s="60" t="str">
        <x:f>IF(A19="","",T18+J19)</x:f>
      </x:c>
      <x:c r="U19" s="60" t="str">
        <x:f>IF(A19="","",U18+COUNTIFS(Kampregistrering!$AG$10:$AG$209,O19,Kampregistrering!$G$10:$G$209,"Mix",Kampregistrering!$AK$10:$AK$209,1))</x:f>
      </x:c>
      <x:c r="V19" t="str">
        <x:f>IF(A19="","",ROUND(((P19*Q19+R19*S19+T19*U19)/(Q19+S19+U19))+IF((MAX(P19,R19,T19)-(P19+R19+T19-MAX(P19,R19,T19)-MIN(P19,R19,T19)))&lt;'Model &amp; indstillinger'!$E$16,'Model &amp; indstillinger'!$E$18,'Model &amp; indstillinger'!$E$20)*(MAX(P19,R19,T19)-((P19*Q19+R19*S19+T19*U19)/(Q19+S19+U19))),0))</x:f>
      </x:c>
      <x:c r="W19" t="str">
        <x:f>IF(A19="","",V18)</x:f>
      </x:c>
    </x:row>
    <x:row r="20">
      <x:c r="A20" s="77" t="str">
        <x:f>IF(O20&gt;MAX(Kampregistrering!$AG$10:$AG$209),"",VLOOKUP(O20,Kampregistrering!$AQ$10:$AS$209,2,FALSE))</x:f>
      </x:c>
      <x:c r="B20" s="81" t="str">
        <x:f>IF(A20="","",VLOOKUP(O20,Kampregistrering!$AQ$10:$AS$209,3,FALSE))</x:f>
      </x:c>
      <x:c r="C20" s="95" t="str">
        <x:f>IF(A20="","",IF(O20&lt;MAX(Kampregistrering!$AG$10:$AG$209),"Afsluttet","I gang"))</x:f>
      </x:c>
      <x:c r="D20" s="81" t="str">
        <x:f>IF(A20="","",COUNTIFS(Kampregistrering!$AG$10:$AG$209,O20,Kampregistrering!$AK$10:$AK$209,1))</x:f>
      </x:c>
      <x:c r="E20" s="81" t="str">
        <x:f>IF(A20="","",COUNTIFS(Kampregistrering!$AG$10:$AG$209,O20,Kampregistrering!$H$10:$H$209,"Vundet"))</x:f>
      </x:c>
      <x:c r="F20" s="81" t="str">
        <x:f>IF(A20="","",COUNTIFS(Kampregistrering!$AG$10:$AG$209,O20,Kampregistrering!$H$10:$H$209,"Tabt"))</x:f>
      </x:c>
      <x:c r="G20" s="81" t="str">
        <x:f>IF(A20="","",COUNTIFS(Kampregistrering!$AG$10:$AG$209,O20,Kampregistrering!$H$10:$H$209,"Ikke spillet"))</x:f>
      </x:c>
      <x:c r="H20" s="125" t="str">
        <x:f>IF(A20="","",SUMIFS(Kampregistrering!$U$10:$U$209,Kampregistrering!$AG$10:$AG$209,O20,Kampregistrering!$G$10:$G$209,"Single"))</x:f>
      </x:c>
      <x:c r="I20" s="125" t="str">
        <x:f>IF(A20="","",SUMIFS(Kampregistrering!$U$10:$U$209,Kampregistrering!$AG$10:$AG$209,O20,Kampregistrering!$G$10:$G$209,"Double"))</x:f>
      </x:c>
      <x:c r="J20" s="125" t="str">
        <x:f>IF(A20="","",SUMIFS(Kampregistrering!$U$10:$U$209,Kampregistrering!$AG$10:$AG$209,O20,Kampregistrering!$G$10:$G$209,"Mix"))</x:f>
      </x:c>
      <x:c r="K20" s="125" t="str">
        <x:f>IF(A20="","",H20+I20+J20)</x:f>
      </x:c>
      <x:c r="L20" s="125" t="str">
        <x:f>IF(A20="","",W20)</x:f>
      </x:c>
      <x:c r="M20" s="125" t="str">
        <x:f>IF(A20="","",V20)</x:f>
      </x:c>
      <x:c r="N20" s="125" t="str">
        <x:f>IF(A20="","",M20-L20)</x:f>
      </x:c>
      <x:c r="O20" s="60" t="n">
        <x:v>16</x:v>
      </x:c>
      <x:c r="P20" s="60" t="str">
        <x:f>IF(A20="","",P19+H20)</x:f>
      </x:c>
      <x:c r="Q20" s="60" t="str">
        <x:f>IF(A20="","",Q19+COUNTIFS(Kampregistrering!$AG$10:$AG$209,O20,Kampregistrering!$G$10:$G$209,"Single",Kampregistrering!$AK$10:$AK$209,1))</x:f>
      </x:c>
      <x:c r="R20" s="60" t="str">
        <x:f>IF(A20="","",R19+I20)</x:f>
      </x:c>
      <x:c r="S20" s="60" t="str">
        <x:f>IF(A20="","",S19+COUNTIFS(Kampregistrering!$AG$10:$AG$209,O20,Kampregistrering!$G$10:$G$209,"Double",Kampregistrering!$AK$10:$AK$209,1))</x:f>
      </x:c>
      <x:c r="T20" s="60" t="str">
        <x:f>IF(A20="","",T19+J20)</x:f>
      </x:c>
      <x:c r="U20" s="60" t="str">
        <x:f>IF(A20="","",U19+COUNTIFS(Kampregistrering!$AG$10:$AG$209,O20,Kampregistrering!$G$10:$G$209,"Mix",Kampregistrering!$AK$10:$AK$209,1))</x:f>
      </x:c>
      <x:c r="V20" t="str">
        <x:f>IF(A20="","",ROUND(((P20*Q20+R20*S20+T20*U20)/(Q20+S20+U20))+IF((MAX(P20,R20,T20)-(P20+R20+T20-MAX(P20,R20,T20)-MIN(P20,R20,T20)))&lt;'Model &amp; indstillinger'!$E$16,'Model &amp; indstillinger'!$E$18,'Model &amp; indstillinger'!$E$20)*(MAX(P20,R20,T20)-((P20*Q20+R20*S20+T20*U20)/(Q20+S20+U20))),0))</x:f>
      </x:c>
      <x:c r="W20" t="str">
        <x:f>IF(A20="","",V19)</x:f>
      </x:c>
    </x:row>
    <x:row r="21">
      <x:c r="A21" s="77" t="str">
        <x:f>IF(O21&gt;MAX(Kampregistrering!$AG$10:$AG$209),"",VLOOKUP(O21,Kampregistrering!$AQ$10:$AS$209,2,FALSE))</x:f>
      </x:c>
      <x:c r="B21" s="81" t="str">
        <x:f>IF(A21="","",VLOOKUP(O21,Kampregistrering!$AQ$10:$AS$209,3,FALSE))</x:f>
      </x:c>
      <x:c r="C21" s="95" t="str">
        <x:f>IF(A21="","",IF(O21&lt;MAX(Kampregistrering!$AG$10:$AG$209),"Afsluttet","I gang"))</x:f>
      </x:c>
      <x:c r="D21" s="81" t="str">
        <x:f>IF(A21="","",COUNTIFS(Kampregistrering!$AG$10:$AG$209,O21,Kampregistrering!$AK$10:$AK$209,1))</x:f>
      </x:c>
      <x:c r="E21" s="81" t="str">
        <x:f>IF(A21="","",COUNTIFS(Kampregistrering!$AG$10:$AG$209,O21,Kampregistrering!$H$10:$H$209,"Vundet"))</x:f>
      </x:c>
      <x:c r="F21" s="81" t="str">
        <x:f>IF(A21="","",COUNTIFS(Kampregistrering!$AG$10:$AG$209,O21,Kampregistrering!$H$10:$H$209,"Tabt"))</x:f>
      </x:c>
      <x:c r="G21" s="81" t="str">
        <x:f>IF(A21="","",COUNTIFS(Kampregistrering!$AG$10:$AG$209,O21,Kampregistrering!$H$10:$H$209,"Ikke spillet"))</x:f>
      </x:c>
      <x:c r="H21" s="125" t="str">
        <x:f>IF(A21="","",SUMIFS(Kampregistrering!$U$10:$U$209,Kampregistrering!$AG$10:$AG$209,O21,Kampregistrering!$G$10:$G$209,"Single"))</x:f>
      </x:c>
      <x:c r="I21" s="125" t="str">
        <x:f>IF(A21="","",SUMIFS(Kampregistrering!$U$10:$U$209,Kampregistrering!$AG$10:$AG$209,O21,Kampregistrering!$G$10:$G$209,"Double"))</x:f>
      </x:c>
      <x:c r="J21" s="125" t="str">
        <x:f>IF(A21="","",SUMIFS(Kampregistrering!$U$10:$U$209,Kampregistrering!$AG$10:$AG$209,O21,Kampregistrering!$G$10:$G$209,"Mix"))</x:f>
      </x:c>
      <x:c r="K21" s="125" t="str">
        <x:f>IF(A21="","",H21+I21+J21)</x:f>
      </x:c>
      <x:c r="L21" s="125" t="str">
        <x:f>IF(A21="","",W21)</x:f>
      </x:c>
      <x:c r="M21" s="125" t="str">
        <x:f>IF(A21="","",V21)</x:f>
      </x:c>
      <x:c r="N21" s="125" t="str">
        <x:f>IF(A21="","",M21-L21)</x:f>
      </x:c>
      <x:c r="O21" s="60" t="n">
        <x:v>17</x:v>
      </x:c>
      <x:c r="P21" s="60" t="str">
        <x:f>IF(A21="","",P20+H21)</x:f>
      </x:c>
      <x:c r="Q21" s="60" t="str">
        <x:f>IF(A21="","",Q20+COUNTIFS(Kampregistrering!$AG$10:$AG$209,O21,Kampregistrering!$G$10:$G$209,"Single",Kampregistrering!$AK$10:$AK$209,1))</x:f>
      </x:c>
      <x:c r="R21" s="60" t="str">
        <x:f>IF(A21="","",R20+I21)</x:f>
      </x:c>
      <x:c r="S21" s="60" t="str">
        <x:f>IF(A21="","",S20+COUNTIFS(Kampregistrering!$AG$10:$AG$209,O21,Kampregistrering!$G$10:$G$209,"Double",Kampregistrering!$AK$10:$AK$209,1))</x:f>
      </x:c>
      <x:c r="T21" s="60" t="str">
        <x:f>IF(A21="","",T20+J21)</x:f>
      </x:c>
      <x:c r="U21" s="60" t="str">
        <x:f>IF(A21="","",U20+COUNTIFS(Kampregistrering!$AG$10:$AG$209,O21,Kampregistrering!$G$10:$G$209,"Mix",Kampregistrering!$AK$10:$AK$209,1))</x:f>
      </x:c>
      <x:c r="V21" t="str">
        <x:f>IF(A21="","",ROUND(((P21*Q21+R21*S21+T21*U21)/(Q21+S21+U21))+IF((MAX(P21,R21,T21)-(P21+R21+T21-MAX(P21,R21,T21)-MIN(P21,R21,T21)))&lt;'Model &amp; indstillinger'!$E$16,'Model &amp; indstillinger'!$E$18,'Model &amp; indstillinger'!$E$20)*(MAX(P21,R21,T21)-((P21*Q21+R21*S21+T21*U21)/(Q21+S21+U21))),0))</x:f>
      </x:c>
      <x:c r="W21" t="str">
        <x:f>IF(A21="","",V20)</x:f>
      </x:c>
    </x:row>
    <x:row r="22">
      <x:c r="A22" s="77" t="str">
        <x:f>IF(O22&gt;MAX(Kampregistrering!$AG$10:$AG$209),"",VLOOKUP(O22,Kampregistrering!$AQ$10:$AS$209,2,FALSE))</x:f>
      </x:c>
      <x:c r="B22" s="81" t="str">
        <x:f>IF(A22="","",VLOOKUP(O22,Kampregistrering!$AQ$10:$AS$209,3,FALSE))</x:f>
      </x:c>
      <x:c r="C22" s="95" t="str">
        <x:f>IF(A22="","",IF(O22&lt;MAX(Kampregistrering!$AG$10:$AG$209),"Afsluttet","I gang"))</x:f>
      </x:c>
      <x:c r="D22" s="81" t="str">
        <x:f>IF(A22="","",COUNTIFS(Kampregistrering!$AG$10:$AG$209,O22,Kampregistrering!$AK$10:$AK$209,1))</x:f>
      </x:c>
      <x:c r="E22" s="81" t="str">
        <x:f>IF(A22="","",COUNTIFS(Kampregistrering!$AG$10:$AG$209,O22,Kampregistrering!$H$10:$H$209,"Vundet"))</x:f>
      </x:c>
      <x:c r="F22" s="81" t="str">
        <x:f>IF(A22="","",COUNTIFS(Kampregistrering!$AG$10:$AG$209,O22,Kampregistrering!$H$10:$H$209,"Tabt"))</x:f>
      </x:c>
      <x:c r="G22" s="81" t="str">
        <x:f>IF(A22="","",COUNTIFS(Kampregistrering!$AG$10:$AG$209,O22,Kampregistrering!$H$10:$H$209,"Ikke spillet"))</x:f>
      </x:c>
      <x:c r="H22" s="125" t="str">
        <x:f>IF(A22="","",SUMIFS(Kampregistrering!$U$10:$U$209,Kampregistrering!$AG$10:$AG$209,O22,Kampregistrering!$G$10:$G$209,"Single"))</x:f>
      </x:c>
      <x:c r="I22" s="125" t="str">
        <x:f>IF(A22="","",SUMIFS(Kampregistrering!$U$10:$U$209,Kampregistrering!$AG$10:$AG$209,O22,Kampregistrering!$G$10:$G$209,"Double"))</x:f>
      </x:c>
      <x:c r="J22" s="125" t="str">
        <x:f>IF(A22="","",SUMIFS(Kampregistrering!$U$10:$U$209,Kampregistrering!$AG$10:$AG$209,O22,Kampregistrering!$G$10:$G$209,"Mix"))</x:f>
      </x:c>
      <x:c r="K22" s="125" t="str">
        <x:f>IF(A22="","",H22+I22+J22)</x:f>
      </x:c>
      <x:c r="L22" s="125" t="str">
        <x:f>IF(A22="","",W22)</x:f>
      </x:c>
      <x:c r="M22" s="125" t="str">
        <x:f>IF(A22="","",V22)</x:f>
      </x:c>
      <x:c r="N22" s="125" t="str">
        <x:f>IF(A22="","",M22-L22)</x:f>
      </x:c>
      <x:c r="O22" s="60" t="n">
        <x:v>18</x:v>
      </x:c>
      <x:c r="P22" s="60" t="str">
        <x:f>IF(A22="","",P21+H22)</x:f>
      </x:c>
      <x:c r="Q22" s="60" t="str">
        <x:f>IF(A22="","",Q21+COUNTIFS(Kampregistrering!$AG$10:$AG$209,O22,Kampregistrering!$G$10:$G$209,"Single",Kampregistrering!$AK$10:$AK$209,1))</x:f>
      </x:c>
      <x:c r="R22" s="60" t="str">
        <x:f>IF(A22="","",R21+I22)</x:f>
      </x:c>
      <x:c r="S22" s="60" t="str">
        <x:f>IF(A22="","",S21+COUNTIFS(Kampregistrering!$AG$10:$AG$209,O22,Kampregistrering!$G$10:$G$209,"Double",Kampregistrering!$AK$10:$AK$209,1))</x:f>
      </x:c>
      <x:c r="T22" s="60" t="str">
        <x:f>IF(A22="","",T21+J22)</x:f>
      </x:c>
      <x:c r="U22" s="60" t="str">
        <x:f>IF(A22="","",U21+COUNTIFS(Kampregistrering!$AG$10:$AG$209,O22,Kampregistrering!$G$10:$G$209,"Mix",Kampregistrering!$AK$10:$AK$209,1))</x:f>
      </x:c>
      <x:c r="V22" t="str">
        <x:f>IF(A22="","",ROUND(((P22*Q22+R22*S22+T22*U22)/(Q22+S22+U22))+IF((MAX(P22,R22,T22)-(P22+R22+T22-MAX(P22,R22,T22)-MIN(P22,R22,T22)))&lt;'Model &amp; indstillinger'!$E$16,'Model &amp; indstillinger'!$E$18,'Model &amp; indstillinger'!$E$20)*(MAX(P22,R22,T22)-((P22*Q22+R22*S22+T22*U22)/(Q22+S22+U22))),0))</x:f>
      </x:c>
      <x:c r="W22" t="str">
        <x:f>IF(A22="","",V21)</x:f>
      </x:c>
    </x:row>
    <x:row r="23">
      <x:c r="A23" s="77" t="str">
        <x:f>IF(O23&gt;MAX(Kampregistrering!$AG$10:$AG$209),"",VLOOKUP(O23,Kampregistrering!$AQ$10:$AS$209,2,FALSE))</x:f>
      </x:c>
      <x:c r="B23" s="81" t="str">
        <x:f>IF(A23="","",VLOOKUP(O23,Kampregistrering!$AQ$10:$AS$209,3,FALSE))</x:f>
      </x:c>
      <x:c r="C23" s="95" t="str">
        <x:f>IF(A23="","",IF(O23&lt;MAX(Kampregistrering!$AG$10:$AG$209),"Afsluttet","I gang"))</x:f>
      </x:c>
      <x:c r="D23" s="81" t="str">
        <x:f>IF(A23="","",COUNTIFS(Kampregistrering!$AG$10:$AG$209,O23,Kampregistrering!$AK$10:$AK$209,1))</x:f>
      </x:c>
      <x:c r="E23" s="81" t="str">
        <x:f>IF(A23="","",COUNTIFS(Kampregistrering!$AG$10:$AG$209,O23,Kampregistrering!$H$10:$H$209,"Vundet"))</x:f>
      </x:c>
      <x:c r="F23" s="81" t="str">
        <x:f>IF(A23="","",COUNTIFS(Kampregistrering!$AG$10:$AG$209,O23,Kampregistrering!$H$10:$H$209,"Tabt"))</x:f>
      </x:c>
      <x:c r="G23" s="81" t="str">
        <x:f>IF(A23="","",COUNTIFS(Kampregistrering!$AG$10:$AG$209,O23,Kampregistrering!$H$10:$H$209,"Ikke spillet"))</x:f>
      </x:c>
      <x:c r="H23" s="125" t="str">
        <x:f>IF(A23="","",SUMIFS(Kampregistrering!$U$10:$U$209,Kampregistrering!$AG$10:$AG$209,O23,Kampregistrering!$G$10:$G$209,"Single"))</x:f>
      </x:c>
      <x:c r="I23" s="125" t="str">
        <x:f>IF(A23="","",SUMIFS(Kampregistrering!$U$10:$U$209,Kampregistrering!$AG$10:$AG$209,O23,Kampregistrering!$G$10:$G$209,"Double"))</x:f>
      </x:c>
      <x:c r="J23" s="125" t="str">
        <x:f>IF(A23="","",SUMIFS(Kampregistrering!$U$10:$U$209,Kampregistrering!$AG$10:$AG$209,O23,Kampregistrering!$G$10:$G$209,"Mix"))</x:f>
      </x:c>
      <x:c r="K23" s="125" t="str">
        <x:f>IF(A23="","",H23+I23+J23)</x:f>
      </x:c>
      <x:c r="L23" s="125" t="str">
        <x:f>IF(A23="","",W23)</x:f>
      </x:c>
      <x:c r="M23" s="125" t="str">
        <x:f>IF(A23="","",V23)</x:f>
      </x:c>
      <x:c r="N23" s="125" t="str">
        <x:f>IF(A23="","",M23-L23)</x:f>
      </x:c>
      <x:c r="O23" s="60" t="n">
        <x:v>19</x:v>
      </x:c>
      <x:c r="P23" s="60" t="str">
        <x:f>IF(A23="","",P22+H23)</x:f>
      </x:c>
      <x:c r="Q23" s="60" t="str">
        <x:f>IF(A23="","",Q22+COUNTIFS(Kampregistrering!$AG$10:$AG$209,O23,Kampregistrering!$G$10:$G$209,"Single",Kampregistrering!$AK$10:$AK$209,1))</x:f>
      </x:c>
      <x:c r="R23" s="60" t="str">
        <x:f>IF(A23="","",R22+I23)</x:f>
      </x:c>
      <x:c r="S23" s="60" t="str">
        <x:f>IF(A23="","",S22+COUNTIFS(Kampregistrering!$AG$10:$AG$209,O23,Kampregistrering!$G$10:$G$209,"Double",Kampregistrering!$AK$10:$AK$209,1))</x:f>
      </x:c>
      <x:c r="T23" s="60" t="str">
        <x:f>IF(A23="","",T22+J23)</x:f>
      </x:c>
      <x:c r="U23" s="60" t="str">
        <x:f>IF(A23="","",U22+COUNTIFS(Kampregistrering!$AG$10:$AG$209,O23,Kampregistrering!$G$10:$G$209,"Mix",Kampregistrering!$AK$10:$AK$209,1))</x:f>
      </x:c>
      <x:c r="V23" t="str">
        <x:f>IF(A23="","",ROUND(((P23*Q23+R23*S23+T23*U23)/(Q23+S23+U23))+IF((MAX(P23,R23,T23)-(P23+R23+T23-MAX(P23,R23,T23)-MIN(P23,R23,T23)))&lt;'Model &amp; indstillinger'!$E$16,'Model &amp; indstillinger'!$E$18,'Model &amp; indstillinger'!$E$20)*(MAX(P23,R23,T23)-((P23*Q23+R23*S23+T23*U23)/(Q23+S23+U23))),0))</x:f>
      </x:c>
      <x:c r="W23" t="str">
        <x:f>IF(A23="","",V22)</x:f>
      </x:c>
    </x:row>
    <x:row r="24">
      <x:c r="A24" s="77" t="str">
        <x:f>IF(O24&gt;MAX(Kampregistrering!$AG$10:$AG$209),"",VLOOKUP(O24,Kampregistrering!$AQ$10:$AS$209,2,FALSE))</x:f>
      </x:c>
      <x:c r="B24" s="81" t="str">
        <x:f>IF(A24="","",VLOOKUP(O24,Kampregistrering!$AQ$10:$AS$209,3,FALSE))</x:f>
      </x:c>
      <x:c r="C24" s="95" t="str">
        <x:f>IF(A24="","",IF(O24&lt;MAX(Kampregistrering!$AG$10:$AG$209),"Afsluttet","I gang"))</x:f>
      </x:c>
      <x:c r="D24" s="81" t="str">
        <x:f>IF(A24="","",COUNTIFS(Kampregistrering!$AG$10:$AG$209,O24,Kampregistrering!$AK$10:$AK$209,1))</x:f>
      </x:c>
      <x:c r="E24" s="81" t="str">
        <x:f>IF(A24="","",COUNTIFS(Kampregistrering!$AG$10:$AG$209,O24,Kampregistrering!$H$10:$H$209,"Vundet"))</x:f>
      </x:c>
      <x:c r="F24" s="81" t="str">
        <x:f>IF(A24="","",COUNTIFS(Kampregistrering!$AG$10:$AG$209,O24,Kampregistrering!$H$10:$H$209,"Tabt"))</x:f>
      </x:c>
      <x:c r="G24" s="81" t="str">
        <x:f>IF(A24="","",COUNTIFS(Kampregistrering!$AG$10:$AG$209,O24,Kampregistrering!$H$10:$H$209,"Ikke spillet"))</x:f>
      </x:c>
      <x:c r="H24" s="125" t="str">
        <x:f>IF(A24="","",SUMIFS(Kampregistrering!$U$10:$U$209,Kampregistrering!$AG$10:$AG$209,O24,Kampregistrering!$G$10:$G$209,"Single"))</x:f>
      </x:c>
      <x:c r="I24" s="125" t="str">
        <x:f>IF(A24="","",SUMIFS(Kampregistrering!$U$10:$U$209,Kampregistrering!$AG$10:$AG$209,O24,Kampregistrering!$G$10:$G$209,"Double"))</x:f>
      </x:c>
      <x:c r="J24" s="125" t="str">
        <x:f>IF(A24="","",SUMIFS(Kampregistrering!$U$10:$U$209,Kampregistrering!$AG$10:$AG$209,O24,Kampregistrering!$G$10:$G$209,"Mix"))</x:f>
      </x:c>
      <x:c r="K24" s="125" t="str">
        <x:f>IF(A24="","",H24+I24+J24)</x:f>
      </x:c>
      <x:c r="L24" s="125" t="str">
        <x:f>IF(A24="","",W24)</x:f>
      </x:c>
      <x:c r="M24" s="125" t="str">
        <x:f>IF(A24="","",V24)</x:f>
      </x:c>
      <x:c r="N24" s="125" t="str">
        <x:f>IF(A24="","",M24-L24)</x:f>
      </x:c>
      <x:c r="O24" s="60" t="n">
        <x:v>20</x:v>
      </x:c>
      <x:c r="P24" s="60" t="str">
        <x:f>IF(A24="","",P23+H24)</x:f>
      </x:c>
      <x:c r="Q24" s="60" t="str">
        <x:f>IF(A24="","",Q23+COUNTIFS(Kampregistrering!$AG$10:$AG$209,O24,Kampregistrering!$G$10:$G$209,"Single",Kampregistrering!$AK$10:$AK$209,1))</x:f>
      </x:c>
      <x:c r="R24" s="60" t="str">
        <x:f>IF(A24="","",R23+I24)</x:f>
      </x:c>
      <x:c r="S24" s="60" t="str">
        <x:f>IF(A24="","",S23+COUNTIFS(Kampregistrering!$AG$10:$AG$209,O24,Kampregistrering!$G$10:$G$209,"Double",Kampregistrering!$AK$10:$AK$209,1))</x:f>
      </x:c>
      <x:c r="T24" s="60" t="str">
        <x:f>IF(A24="","",T23+J24)</x:f>
      </x:c>
      <x:c r="U24" s="60" t="str">
        <x:f>IF(A24="","",U23+COUNTIFS(Kampregistrering!$AG$10:$AG$209,O24,Kampregistrering!$G$10:$G$209,"Mix",Kampregistrering!$AK$10:$AK$209,1))</x:f>
      </x:c>
      <x:c r="V24" t="str">
        <x:f>IF(A24="","",ROUND(((P24*Q24+R24*S24+T24*U24)/(Q24+S24+U24))+IF((MAX(P24,R24,T24)-(P24+R24+T24-MAX(P24,R24,T24)-MIN(P24,R24,T24)))&lt;'Model &amp; indstillinger'!$E$16,'Model &amp; indstillinger'!$E$18,'Model &amp; indstillinger'!$E$20)*(MAX(P24,R24,T24)-((P24*Q24+R24*S24+T24*U24)/(Q24+S24+U24))),0))</x:f>
      </x:c>
      <x:c r="W24" t="str">
        <x:f>IF(A24="","",V23)</x:f>
      </x:c>
    </x:row>
    <x:row r="25">
      <x:c r="A25" s="77" t="str">
        <x:f>IF(O25&gt;MAX(Kampregistrering!$AG$10:$AG$209),"",VLOOKUP(O25,Kampregistrering!$AQ$10:$AS$209,2,FALSE))</x:f>
      </x:c>
      <x:c r="B25" s="81" t="str">
        <x:f>IF(A25="","",VLOOKUP(O25,Kampregistrering!$AQ$10:$AS$209,3,FALSE))</x:f>
      </x:c>
      <x:c r="C25" s="95" t="str">
        <x:f>IF(A25="","",IF(O25&lt;MAX(Kampregistrering!$AG$10:$AG$209),"Afsluttet","I gang"))</x:f>
      </x:c>
      <x:c r="D25" s="81" t="str">
        <x:f>IF(A25="","",COUNTIFS(Kampregistrering!$AG$10:$AG$209,O25,Kampregistrering!$AK$10:$AK$209,1))</x:f>
      </x:c>
      <x:c r="E25" s="81" t="str">
        <x:f>IF(A25="","",COUNTIFS(Kampregistrering!$AG$10:$AG$209,O25,Kampregistrering!$H$10:$H$209,"Vundet"))</x:f>
      </x:c>
      <x:c r="F25" s="81" t="str">
        <x:f>IF(A25="","",COUNTIFS(Kampregistrering!$AG$10:$AG$209,O25,Kampregistrering!$H$10:$H$209,"Tabt"))</x:f>
      </x:c>
      <x:c r="G25" s="81" t="str">
        <x:f>IF(A25="","",COUNTIFS(Kampregistrering!$AG$10:$AG$209,O25,Kampregistrering!$H$10:$H$209,"Ikke spillet"))</x:f>
      </x:c>
      <x:c r="H25" s="125" t="str">
        <x:f>IF(A25="","",SUMIFS(Kampregistrering!$U$10:$U$209,Kampregistrering!$AG$10:$AG$209,O25,Kampregistrering!$G$10:$G$209,"Single"))</x:f>
      </x:c>
      <x:c r="I25" s="125" t="str">
        <x:f>IF(A25="","",SUMIFS(Kampregistrering!$U$10:$U$209,Kampregistrering!$AG$10:$AG$209,O25,Kampregistrering!$G$10:$G$209,"Double"))</x:f>
      </x:c>
      <x:c r="J25" s="125" t="str">
        <x:f>IF(A25="","",SUMIFS(Kampregistrering!$U$10:$U$209,Kampregistrering!$AG$10:$AG$209,O25,Kampregistrering!$G$10:$G$209,"Mix"))</x:f>
      </x:c>
      <x:c r="K25" s="125" t="str">
        <x:f>IF(A25="","",H25+I25+J25)</x:f>
      </x:c>
      <x:c r="L25" s="125" t="str">
        <x:f>IF(A25="","",W25)</x:f>
      </x:c>
      <x:c r="M25" s="125" t="str">
        <x:f>IF(A25="","",V25)</x:f>
      </x:c>
      <x:c r="N25" s="125" t="str">
        <x:f>IF(A25="","",M25-L25)</x:f>
      </x:c>
      <x:c r="O25" s="60" t="n">
        <x:v>21</x:v>
      </x:c>
      <x:c r="P25" s="60" t="str">
        <x:f>IF(A25="","",P24+H25)</x:f>
      </x:c>
      <x:c r="Q25" s="60" t="str">
        <x:f>IF(A25="","",Q24+COUNTIFS(Kampregistrering!$AG$10:$AG$209,O25,Kampregistrering!$G$10:$G$209,"Single",Kampregistrering!$AK$10:$AK$209,1))</x:f>
      </x:c>
      <x:c r="R25" s="60" t="str">
        <x:f>IF(A25="","",R24+I25)</x:f>
      </x:c>
      <x:c r="S25" s="60" t="str">
        <x:f>IF(A25="","",S24+COUNTIFS(Kampregistrering!$AG$10:$AG$209,O25,Kampregistrering!$G$10:$G$209,"Double",Kampregistrering!$AK$10:$AK$209,1))</x:f>
      </x:c>
      <x:c r="T25" s="60" t="str">
        <x:f>IF(A25="","",T24+J25)</x:f>
      </x:c>
      <x:c r="U25" s="60" t="str">
        <x:f>IF(A25="","",U24+COUNTIFS(Kampregistrering!$AG$10:$AG$209,O25,Kampregistrering!$G$10:$G$209,"Mix",Kampregistrering!$AK$10:$AK$209,1))</x:f>
      </x:c>
      <x:c r="V25" t="str">
        <x:f>IF(A25="","",ROUND(((P25*Q25+R25*S25+T25*U25)/(Q25+S25+U25))+IF((MAX(P25,R25,T25)-(P25+R25+T25-MAX(P25,R25,T25)-MIN(P25,R25,T25)))&lt;'Model &amp; indstillinger'!$E$16,'Model &amp; indstillinger'!$E$18,'Model &amp; indstillinger'!$E$20)*(MAX(P25,R25,T25)-((P25*Q25+R25*S25+T25*U25)/(Q25+S25+U25))),0))</x:f>
      </x:c>
      <x:c r="W25" t="str">
        <x:f>IF(A25="","",V24)</x:f>
      </x:c>
    </x:row>
    <x:row r="26">
      <x:c r="A26" s="77" t="str">
        <x:f>IF(O26&gt;MAX(Kampregistrering!$AG$10:$AG$209),"",VLOOKUP(O26,Kampregistrering!$AQ$10:$AS$209,2,FALSE))</x:f>
      </x:c>
      <x:c r="B26" s="81" t="str">
        <x:f>IF(A26="","",VLOOKUP(O26,Kampregistrering!$AQ$10:$AS$209,3,FALSE))</x:f>
      </x:c>
      <x:c r="C26" s="95" t="str">
        <x:f>IF(A26="","",IF(O26&lt;MAX(Kampregistrering!$AG$10:$AG$209),"Afsluttet","I gang"))</x:f>
      </x:c>
      <x:c r="D26" s="81" t="str">
        <x:f>IF(A26="","",COUNTIFS(Kampregistrering!$AG$10:$AG$209,O26,Kampregistrering!$AK$10:$AK$209,1))</x:f>
      </x:c>
      <x:c r="E26" s="81" t="str">
        <x:f>IF(A26="","",COUNTIFS(Kampregistrering!$AG$10:$AG$209,O26,Kampregistrering!$H$10:$H$209,"Vundet"))</x:f>
      </x:c>
      <x:c r="F26" s="81" t="str">
        <x:f>IF(A26="","",COUNTIFS(Kampregistrering!$AG$10:$AG$209,O26,Kampregistrering!$H$10:$H$209,"Tabt"))</x:f>
      </x:c>
      <x:c r="G26" s="81" t="str">
        <x:f>IF(A26="","",COUNTIFS(Kampregistrering!$AG$10:$AG$209,O26,Kampregistrering!$H$10:$H$209,"Ikke spillet"))</x:f>
      </x:c>
      <x:c r="H26" s="125" t="str">
        <x:f>IF(A26="","",SUMIFS(Kampregistrering!$U$10:$U$209,Kampregistrering!$AG$10:$AG$209,O26,Kampregistrering!$G$10:$G$209,"Single"))</x:f>
      </x:c>
      <x:c r="I26" s="125" t="str">
        <x:f>IF(A26="","",SUMIFS(Kampregistrering!$U$10:$U$209,Kampregistrering!$AG$10:$AG$209,O26,Kampregistrering!$G$10:$G$209,"Double"))</x:f>
      </x:c>
      <x:c r="J26" s="125" t="str">
        <x:f>IF(A26="","",SUMIFS(Kampregistrering!$U$10:$U$209,Kampregistrering!$AG$10:$AG$209,O26,Kampregistrering!$G$10:$G$209,"Mix"))</x:f>
      </x:c>
      <x:c r="K26" s="125" t="str">
        <x:f>IF(A26="","",H26+I26+J26)</x:f>
      </x:c>
      <x:c r="L26" s="125" t="str">
        <x:f>IF(A26="","",W26)</x:f>
      </x:c>
      <x:c r="M26" s="125" t="str">
        <x:f>IF(A26="","",V26)</x:f>
      </x:c>
      <x:c r="N26" s="125" t="str">
        <x:f>IF(A26="","",M26-L26)</x:f>
      </x:c>
      <x:c r="O26" s="60" t="n">
        <x:v>22</x:v>
      </x:c>
      <x:c r="P26" s="60" t="str">
        <x:f>IF(A26="","",P25+H26)</x:f>
      </x:c>
      <x:c r="Q26" s="60" t="str">
        <x:f>IF(A26="","",Q25+COUNTIFS(Kampregistrering!$AG$10:$AG$209,O26,Kampregistrering!$G$10:$G$209,"Single",Kampregistrering!$AK$10:$AK$209,1))</x:f>
      </x:c>
      <x:c r="R26" s="60" t="str">
        <x:f>IF(A26="","",R25+I26)</x:f>
      </x:c>
      <x:c r="S26" s="60" t="str">
        <x:f>IF(A26="","",S25+COUNTIFS(Kampregistrering!$AG$10:$AG$209,O26,Kampregistrering!$G$10:$G$209,"Double",Kampregistrering!$AK$10:$AK$209,1))</x:f>
      </x:c>
      <x:c r="T26" s="60" t="str">
        <x:f>IF(A26="","",T25+J26)</x:f>
      </x:c>
      <x:c r="U26" s="60" t="str">
        <x:f>IF(A26="","",U25+COUNTIFS(Kampregistrering!$AG$10:$AG$209,O26,Kampregistrering!$G$10:$G$209,"Mix",Kampregistrering!$AK$10:$AK$209,1))</x:f>
      </x:c>
      <x:c r="V26" t="str">
        <x:f>IF(A26="","",ROUND(((P26*Q26+R26*S26+T26*U26)/(Q26+S26+U26))+IF((MAX(P26,R26,T26)-(P26+R26+T26-MAX(P26,R26,T26)-MIN(P26,R26,T26)))&lt;'Model &amp; indstillinger'!$E$16,'Model &amp; indstillinger'!$E$18,'Model &amp; indstillinger'!$E$20)*(MAX(P26,R26,T26)-((P26*Q26+R26*S26+T26*U26)/(Q26+S26+U26))),0))</x:f>
      </x:c>
      <x:c r="W26" t="str">
        <x:f>IF(A26="","",V25)</x:f>
      </x:c>
    </x:row>
    <x:row r="27">
      <x:c r="A27" s="77" t="str">
        <x:f>IF(O27&gt;MAX(Kampregistrering!$AG$10:$AG$209),"",VLOOKUP(O27,Kampregistrering!$AQ$10:$AS$209,2,FALSE))</x:f>
      </x:c>
      <x:c r="B27" s="81" t="str">
        <x:f>IF(A27="","",VLOOKUP(O27,Kampregistrering!$AQ$10:$AS$209,3,FALSE))</x:f>
      </x:c>
      <x:c r="C27" s="95" t="str">
        <x:f>IF(A27="","",IF(O27&lt;MAX(Kampregistrering!$AG$10:$AG$209),"Afsluttet","I gang"))</x:f>
      </x:c>
      <x:c r="D27" s="81" t="str">
        <x:f>IF(A27="","",COUNTIFS(Kampregistrering!$AG$10:$AG$209,O27,Kampregistrering!$AK$10:$AK$209,1))</x:f>
      </x:c>
      <x:c r="E27" s="81" t="str">
        <x:f>IF(A27="","",COUNTIFS(Kampregistrering!$AG$10:$AG$209,O27,Kampregistrering!$H$10:$H$209,"Vundet"))</x:f>
      </x:c>
      <x:c r="F27" s="81" t="str">
        <x:f>IF(A27="","",COUNTIFS(Kampregistrering!$AG$10:$AG$209,O27,Kampregistrering!$H$10:$H$209,"Tabt"))</x:f>
      </x:c>
      <x:c r="G27" s="81" t="str">
        <x:f>IF(A27="","",COUNTIFS(Kampregistrering!$AG$10:$AG$209,O27,Kampregistrering!$H$10:$H$209,"Ikke spillet"))</x:f>
      </x:c>
      <x:c r="H27" s="125" t="str">
        <x:f>IF(A27="","",SUMIFS(Kampregistrering!$U$10:$U$209,Kampregistrering!$AG$10:$AG$209,O27,Kampregistrering!$G$10:$G$209,"Single"))</x:f>
      </x:c>
      <x:c r="I27" s="125" t="str">
        <x:f>IF(A27="","",SUMIFS(Kampregistrering!$U$10:$U$209,Kampregistrering!$AG$10:$AG$209,O27,Kampregistrering!$G$10:$G$209,"Double"))</x:f>
      </x:c>
      <x:c r="J27" s="125" t="str">
        <x:f>IF(A27="","",SUMIFS(Kampregistrering!$U$10:$U$209,Kampregistrering!$AG$10:$AG$209,O27,Kampregistrering!$G$10:$G$209,"Mix"))</x:f>
      </x:c>
      <x:c r="K27" s="125" t="str">
        <x:f>IF(A27="","",H27+I27+J27)</x:f>
      </x:c>
      <x:c r="L27" s="125" t="str">
        <x:f>IF(A27="","",W27)</x:f>
      </x:c>
      <x:c r="M27" s="125" t="str">
        <x:f>IF(A27="","",V27)</x:f>
      </x:c>
      <x:c r="N27" s="125" t="str">
        <x:f>IF(A27="","",M27-L27)</x:f>
      </x:c>
      <x:c r="O27" s="60" t="n">
        <x:v>23</x:v>
      </x:c>
      <x:c r="P27" s="60" t="str">
        <x:f>IF(A27="","",P26+H27)</x:f>
      </x:c>
      <x:c r="Q27" s="60" t="str">
        <x:f>IF(A27="","",Q26+COUNTIFS(Kampregistrering!$AG$10:$AG$209,O27,Kampregistrering!$G$10:$G$209,"Single",Kampregistrering!$AK$10:$AK$209,1))</x:f>
      </x:c>
      <x:c r="R27" s="60" t="str">
        <x:f>IF(A27="","",R26+I27)</x:f>
      </x:c>
      <x:c r="S27" s="60" t="str">
        <x:f>IF(A27="","",S26+COUNTIFS(Kampregistrering!$AG$10:$AG$209,O27,Kampregistrering!$G$10:$G$209,"Double",Kampregistrering!$AK$10:$AK$209,1))</x:f>
      </x:c>
      <x:c r="T27" s="60" t="str">
        <x:f>IF(A27="","",T26+J27)</x:f>
      </x:c>
      <x:c r="U27" s="60" t="str">
        <x:f>IF(A27="","",U26+COUNTIFS(Kampregistrering!$AG$10:$AG$209,O27,Kampregistrering!$G$10:$G$209,"Mix",Kampregistrering!$AK$10:$AK$209,1))</x:f>
      </x:c>
      <x:c r="V27" t="str">
        <x:f>IF(A27="","",ROUND(((P27*Q27+R27*S27+T27*U27)/(Q27+S27+U27))+IF((MAX(P27,R27,T27)-(P27+R27+T27-MAX(P27,R27,T27)-MIN(P27,R27,T27)))&lt;'Model &amp; indstillinger'!$E$16,'Model &amp; indstillinger'!$E$18,'Model &amp; indstillinger'!$E$20)*(MAX(P27,R27,T27)-((P27*Q27+R27*S27+T27*U27)/(Q27+S27+U27))),0))</x:f>
      </x:c>
      <x:c r="W27" t="str">
        <x:f>IF(A27="","",V26)</x:f>
      </x:c>
    </x:row>
    <x:row r="28">
      <x:c r="A28" s="77" t="str">
        <x:f>IF(O28&gt;MAX(Kampregistrering!$AG$10:$AG$209),"",VLOOKUP(O28,Kampregistrering!$AQ$10:$AS$209,2,FALSE))</x:f>
      </x:c>
      <x:c r="B28" s="81" t="str">
        <x:f>IF(A28="","",VLOOKUP(O28,Kampregistrering!$AQ$10:$AS$209,3,FALSE))</x:f>
      </x:c>
      <x:c r="C28" s="95" t="str">
        <x:f>IF(A28="","",IF(O28&lt;MAX(Kampregistrering!$AG$10:$AG$209),"Afsluttet","I gang"))</x:f>
      </x:c>
      <x:c r="D28" s="81" t="str">
        <x:f>IF(A28="","",COUNTIFS(Kampregistrering!$AG$10:$AG$209,O28,Kampregistrering!$AK$10:$AK$209,1))</x:f>
      </x:c>
      <x:c r="E28" s="81" t="str">
        <x:f>IF(A28="","",COUNTIFS(Kampregistrering!$AG$10:$AG$209,O28,Kampregistrering!$H$10:$H$209,"Vundet"))</x:f>
      </x:c>
      <x:c r="F28" s="81" t="str">
        <x:f>IF(A28="","",COUNTIFS(Kampregistrering!$AG$10:$AG$209,O28,Kampregistrering!$H$10:$H$209,"Tabt"))</x:f>
      </x:c>
      <x:c r="G28" s="81" t="str">
        <x:f>IF(A28="","",COUNTIFS(Kampregistrering!$AG$10:$AG$209,O28,Kampregistrering!$H$10:$H$209,"Ikke spillet"))</x:f>
      </x:c>
      <x:c r="H28" s="125" t="str">
        <x:f>IF(A28="","",SUMIFS(Kampregistrering!$U$10:$U$209,Kampregistrering!$AG$10:$AG$209,O28,Kampregistrering!$G$10:$G$209,"Single"))</x:f>
      </x:c>
      <x:c r="I28" s="125" t="str">
        <x:f>IF(A28="","",SUMIFS(Kampregistrering!$U$10:$U$209,Kampregistrering!$AG$10:$AG$209,O28,Kampregistrering!$G$10:$G$209,"Double"))</x:f>
      </x:c>
      <x:c r="J28" s="125" t="str">
        <x:f>IF(A28="","",SUMIFS(Kampregistrering!$U$10:$U$209,Kampregistrering!$AG$10:$AG$209,O28,Kampregistrering!$G$10:$G$209,"Mix"))</x:f>
      </x:c>
      <x:c r="K28" s="125" t="str">
        <x:f>IF(A28="","",H28+I28+J28)</x:f>
      </x:c>
      <x:c r="L28" s="125" t="str">
        <x:f>IF(A28="","",W28)</x:f>
      </x:c>
      <x:c r="M28" s="125" t="str">
        <x:f>IF(A28="","",V28)</x:f>
      </x:c>
      <x:c r="N28" s="125" t="str">
        <x:f>IF(A28="","",M28-L28)</x:f>
      </x:c>
      <x:c r="O28" s="60" t="n">
        <x:v>24</x:v>
      </x:c>
      <x:c r="P28" s="60" t="str">
        <x:f>IF(A28="","",P27+H28)</x:f>
      </x:c>
      <x:c r="Q28" s="60" t="str">
        <x:f>IF(A28="","",Q27+COUNTIFS(Kampregistrering!$AG$10:$AG$209,O28,Kampregistrering!$G$10:$G$209,"Single",Kampregistrering!$AK$10:$AK$209,1))</x:f>
      </x:c>
      <x:c r="R28" s="60" t="str">
        <x:f>IF(A28="","",R27+I28)</x:f>
      </x:c>
      <x:c r="S28" s="60" t="str">
        <x:f>IF(A28="","",S27+COUNTIFS(Kampregistrering!$AG$10:$AG$209,O28,Kampregistrering!$G$10:$G$209,"Double",Kampregistrering!$AK$10:$AK$209,1))</x:f>
      </x:c>
      <x:c r="T28" s="60" t="str">
        <x:f>IF(A28="","",T27+J28)</x:f>
      </x:c>
      <x:c r="U28" s="60" t="str">
        <x:f>IF(A28="","",U27+COUNTIFS(Kampregistrering!$AG$10:$AG$209,O28,Kampregistrering!$G$10:$G$209,"Mix",Kampregistrering!$AK$10:$AK$209,1))</x:f>
      </x:c>
      <x:c r="V28" t="str">
        <x:f>IF(A28="","",ROUND(((P28*Q28+R28*S28+T28*U28)/(Q28+S28+U28))+IF((MAX(P28,R28,T28)-(P28+R28+T28-MAX(P28,R28,T28)-MIN(P28,R28,T28)))&lt;'Model &amp; indstillinger'!$E$16,'Model &amp; indstillinger'!$E$18,'Model &amp; indstillinger'!$E$20)*(MAX(P28,R28,T28)-((P28*Q28+R28*S28+T28*U28)/(Q28+S28+U28))),0))</x:f>
      </x:c>
      <x:c r="W28" t="str">
        <x:f>IF(A28="","",V27)</x:f>
      </x:c>
    </x:row>
    <x:row r="29">
      <x:c r="A29" s="77" t="str">
        <x:f>IF(O29&gt;MAX(Kampregistrering!$AG$10:$AG$209),"",VLOOKUP(O29,Kampregistrering!$AQ$10:$AS$209,2,FALSE))</x:f>
      </x:c>
      <x:c r="B29" s="81" t="str">
        <x:f>IF(A29="","",VLOOKUP(O29,Kampregistrering!$AQ$10:$AS$209,3,FALSE))</x:f>
      </x:c>
      <x:c r="C29" s="95" t="str">
        <x:f>IF(A29="","",IF(O29&lt;MAX(Kampregistrering!$AG$10:$AG$209),"Afsluttet","I gang"))</x:f>
      </x:c>
      <x:c r="D29" s="81" t="str">
        <x:f>IF(A29="","",COUNTIFS(Kampregistrering!$AG$10:$AG$209,O29,Kampregistrering!$AK$10:$AK$209,1))</x:f>
      </x:c>
      <x:c r="E29" s="81" t="str">
        <x:f>IF(A29="","",COUNTIFS(Kampregistrering!$AG$10:$AG$209,O29,Kampregistrering!$H$10:$H$209,"Vundet"))</x:f>
      </x:c>
      <x:c r="F29" s="81" t="str">
        <x:f>IF(A29="","",COUNTIFS(Kampregistrering!$AG$10:$AG$209,O29,Kampregistrering!$H$10:$H$209,"Tabt"))</x:f>
      </x:c>
      <x:c r="G29" s="81" t="str">
        <x:f>IF(A29="","",COUNTIFS(Kampregistrering!$AG$10:$AG$209,O29,Kampregistrering!$H$10:$H$209,"Ikke spillet"))</x:f>
      </x:c>
      <x:c r="H29" s="125" t="str">
        <x:f>IF(A29="","",SUMIFS(Kampregistrering!$U$10:$U$209,Kampregistrering!$AG$10:$AG$209,O29,Kampregistrering!$G$10:$G$209,"Single"))</x:f>
      </x:c>
      <x:c r="I29" s="125" t="str">
        <x:f>IF(A29="","",SUMIFS(Kampregistrering!$U$10:$U$209,Kampregistrering!$AG$10:$AG$209,O29,Kampregistrering!$G$10:$G$209,"Double"))</x:f>
      </x:c>
      <x:c r="J29" s="125" t="str">
        <x:f>IF(A29="","",SUMIFS(Kampregistrering!$U$10:$U$209,Kampregistrering!$AG$10:$AG$209,O29,Kampregistrering!$G$10:$G$209,"Mix"))</x:f>
      </x:c>
      <x:c r="K29" s="125" t="str">
        <x:f>IF(A29="","",H29+I29+J29)</x:f>
      </x:c>
      <x:c r="L29" s="125" t="str">
        <x:f>IF(A29="","",W29)</x:f>
      </x:c>
      <x:c r="M29" s="125" t="str">
        <x:f>IF(A29="","",V29)</x:f>
      </x:c>
      <x:c r="N29" s="125" t="str">
        <x:f>IF(A29="","",M29-L29)</x:f>
      </x:c>
      <x:c r="O29" s="60" t="n">
        <x:v>25</x:v>
      </x:c>
      <x:c r="P29" s="60" t="str">
        <x:f>IF(A29="","",P28+H29)</x:f>
      </x:c>
      <x:c r="Q29" s="60" t="str">
        <x:f>IF(A29="","",Q28+COUNTIFS(Kampregistrering!$AG$10:$AG$209,O29,Kampregistrering!$G$10:$G$209,"Single",Kampregistrering!$AK$10:$AK$209,1))</x:f>
      </x:c>
      <x:c r="R29" s="60" t="str">
        <x:f>IF(A29="","",R28+I29)</x:f>
      </x:c>
      <x:c r="S29" s="60" t="str">
        <x:f>IF(A29="","",S28+COUNTIFS(Kampregistrering!$AG$10:$AG$209,O29,Kampregistrering!$G$10:$G$209,"Double",Kampregistrering!$AK$10:$AK$209,1))</x:f>
      </x:c>
      <x:c r="T29" s="60" t="str">
        <x:f>IF(A29="","",T28+J29)</x:f>
      </x:c>
      <x:c r="U29" s="60" t="str">
        <x:f>IF(A29="","",U28+COUNTIFS(Kampregistrering!$AG$10:$AG$209,O29,Kampregistrering!$G$10:$G$209,"Mix",Kampregistrering!$AK$10:$AK$209,1))</x:f>
      </x:c>
      <x:c r="V29" t="str">
        <x:f>IF(A29="","",ROUND(((P29*Q29+R29*S29+T29*U29)/(Q29+S29+U29))+IF((MAX(P29,R29,T29)-(P29+R29+T29-MAX(P29,R29,T29)-MIN(P29,R29,T29)))&lt;'Model &amp; indstillinger'!$E$16,'Model &amp; indstillinger'!$E$18,'Model &amp; indstillinger'!$E$20)*(MAX(P29,R29,T29)-((P29*Q29+R29*S29+T29*U29)/(Q29+S29+U29))),0))</x:f>
      </x:c>
      <x:c r="W29" t="str">
        <x:f>IF(A29="","",V28)</x:f>
      </x:c>
    </x:row>
    <x:row r="30">
      <x:c r="A30" s="77" t="str">
        <x:f>IF(O30&gt;MAX(Kampregistrering!$AG$10:$AG$209),"",VLOOKUP(O30,Kampregistrering!$AQ$10:$AS$209,2,FALSE))</x:f>
      </x:c>
      <x:c r="B30" s="81" t="str">
        <x:f>IF(A30="","",VLOOKUP(O30,Kampregistrering!$AQ$10:$AS$209,3,FALSE))</x:f>
      </x:c>
      <x:c r="C30" s="95" t="str">
        <x:f>IF(A30="","",IF(O30&lt;MAX(Kampregistrering!$AG$10:$AG$209),"Afsluttet","I gang"))</x:f>
      </x:c>
      <x:c r="D30" s="81" t="str">
        <x:f>IF(A30="","",COUNTIFS(Kampregistrering!$AG$10:$AG$209,O30,Kampregistrering!$AK$10:$AK$209,1))</x:f>
      </x:c>
      <x:c r="E30" s="81" t="str">
        <x:f>IF(A30="","",COUNTIFS(Kampregistrering!$AG$10:$AG$209,O30,Kampregistrering!$H$10:$H$209,"Vundet"))</x:f>
      </x:c>
      <x:c r="F30" s="81" t="str">
        <x:f>IF(A30="","",COUNTIFS(Kampregistrering!$AG$10:$AG$209,O30,Kampregistrering!$H$10:$H$209,"Tabt"))</x:f>
      </x:c>
      <x:c r="G30" s="81" t="str">
        <x:f>IF(A30="","",COUNTIFS(Kampregistrering!$AG$10:$AG$209,O30,Kampregistrering!$H$10:$H$209,"Ikke spillet"))</x:f>
      </x:c>
      <x:c r="H30" s="125" t="str">
        <x:f>IF(A30="","",SUMIFS(Kampregistrering!$U$10:$U$209,Kampregistrering!$AG$10:$AG$209,O30,Kampregistrering!$G$10:$G$209,"Single"))</x:f>
      </x:c>
      <x:c r="I30" s="125" t="str">
        <x:f>IF(A30="","",SUMIFS(Kampregistrering!$U$10:$U$209,Kampregistrering!$AG$10:$AG$209,O30,Kampregistrering!$G$10:$G$209,"Double"))</x:f>
      </x:c>
      <x:c r="J30" s="125" t="str">
        <x:f>IF(A30="","",SUMIFS(Kampregistrering!$U$10:$U$209,Kampregistrering!$AG$10:$AG$209,O30,Kampregistrering!$G$10:$G$209,"Mix"))</x:f>
      </x:c>
      <x:c r="K30" s="125" t="str">
        <x:f>IF(A30="","",H30+I30+J30)</x:f>
      </x:c>
      <x:c r="L30" s="125" t="str">
        <x:f>IF(A30="","",W30)</x:f>
      </x:c>
      <x:c r="M30" s="125" t="str">
        <x:f>IF(A30="","",V30)</x:f>
      </x:c>
      <x:c r="N30" s="125" t="str">
        <x:f>IF(A30="","",M30-L30)</x:f>
      </x:c>
      <x:c r="O30" s="60" t="n">
        <x:v>26</x:v>
      </x:c>
      <x:c r="P30" s="60" t="str">
        <x:f>IF(A30="","",P29+H30)</x:f>
      </x:c>
      <x:c r="Q30" s="60" t="str">
        <x:f>IF(A30="","",Q29+COUNTIFS(Kampregistrering!$AG$10:$AG$209,O30,Kampregistrering!$G$10:$G$209,"Single",Kampregistrering!$AK$10:$AK$209,1))</x:f>
      </x:c>
      <x:c r="R30" s="60" t="str">
        <x:f>IF(A30="","",R29+I30)</x:f>
      </x:c>
      <x:c r="S30" s="60" t="str">
        <x:f>IF(A30="","",S29+COUNTIFS(Kampregistrering!$AG$10:$AG$209,O30,Kampregistrering!$G$10:$G$209,"Double",Kampregistrering!$AK$10:$AK$209,1))</x:f>
      </x:c>
      <x:c r="T30" s="60" t="str">
        <x:f>IF(A30="","",T29+J30)</x:f>
      </x:c>
      <x:c r="U30" s="60" t="str">
        <x:f>IF(A30="","",U29+COUNTIFS(Kampregistrering!$AG$10:$AG$209,O30,Kampregistrering!$G$10:$G$209,"Mix",Kampregistrering!$AK$10:$AK$209,1))</x:f>
      </x:c>
      <x:c r="V30" t="str">
        <x:f>IF(A30="","",ROUND(((P30*Q30+R30*S30+T30*U30)/(Q30+S30+U30))+IF((MAX(P30,R30,T30)-(P30+R30+T30-MAX(P30,R30,T30)-MIN(P30,R30,T30)))&lt;'Model &amp; indstillinger'!$E$16,'Model &amp; indstillinger'!$E$18,'Model &amp; indstillinger'!$E$20)*(MAX(P30,R30,T30)-((P30*Q30+R30*S30+T30*U30)/(Q30+S30+U30))),0))</x:f>
      </x:c>
      <x:c r="W30" t="str">
        <x:f>IF(A30="","",V29)</x:f>
      </x:c>
    </x:row>
    <x:row r="31">
      <x:c r="A31" s="77" t="str">
        <x:f>IF(O31&gt;MAX(Kampregistrering!$AG$10:$AG$209),"",VLOOKUP(O31,Kampregistrering!$AQ$10:$AS$209,2,FALSE))</x:f>
      </x:c>
      <x:c r="B31" s="81" t="str">
        <x:f>IF(A31="","",VLOOKUP(O31,Kampregistrering!$AQ$10:$AS$209,3,FALSE))</x:f>
      </x:c>
      <x:c r="C31" s="95" t="str">
        <x:f>IF(A31="","",IF(O31&lt;MAX(Kampregistrering!$AG$10:$AG$209),"Afsluttet","I gang"))</x:f>
      </x:c>
      <x:c r="D31" s="81" t="str">
        <x:f>IF(A31="","",COUNTIFS(Kampregistrering!$AG$10:$AG$209,O31,Kampregistrering!$AK$10:$AK$209,1))</x:f>
      </x:c>
      <x:c r="E31" s="81" t="str">
        <x:f>IF(A31="","",COUNTIFS(Kampregistrering!$AG$10:$AG$209,O31,Kampregistrering!$H$10:$H$209,"Vundet"))</x:f>
      </x:c>
      <x:c r="F31" s="81" t="str">
        <x:f>IF(A31="","",COUNTIFS(Kampregistrering!$AG$10:$AG$209,O31,Kampregistrering!$H$10:$H$209,"Tabt"))</x:f>
      </x:c>
      <x:c r="G31" s="81" t="str">
        <x:f>IF(A31="","",COUNTIFS(Kampregistrering!$AG$10:$AG$209,O31,Kampregistrering!$H$10:$H$209,"Ikke spillet"))</x:f>
      </x:c>
      <x:c r="H31" s="125" t="str">
        <x:f>IF(A31="","",SUMIFS(Kampregistrering!$U$10:$U$209,Kampregistrering!$AG$10:$AG$209,O31,Kampregistrering!$G$10:$G$209,"Single"))</x:f>
      </x:c>
      <x:c r="I31" s="125" t="str">
        <x:f>IF(A31="","",SUMIFS(Kampregistrering!$U$10:$U$209,Kampregistrering!$AG$10:$AG$209,O31,Kampregistrering!$G$10:$G$209,"Double"))</x:f>
      </x:c>
      <x:c r="J31" s="125" t="str">
        <x:f>IF(A31="","",SUMIFS(Kampregistrering!$U$10:$U$209,Kampregistrering!$AG$10:$AG$209,O31,Kampregistrering!$G$10:$G$209,"Mix"))</x:f>
      </x:c>
      <x:c r="K31" s="125" t="str">
        <x:f>IF(A31="","",H31+I31+J31)</x:f>
      </x:c>
      <x:c r="L31" s="125" t="str">
        <x:f>IF(A31="","",W31)</x:f>
      </x:c>
      <x:c r="M31" s="125" t="str">
        <x:f>IF(A31="","",V31)</x:f>
      </x:c>
      <x:c r="N31" s="125" t="str">
        <x:f>IF(A31="","",M31-L31)</x:f>
      </x:c>
      <x:c r="O31" s="60" t="n">
        <x:v>27</x:v>
      </x:c>
      <x:c r="P31" s="60" t="str">
        <x:f>IF(A31="","",P30+H31)</x:f>
      </x:c>
      <x:c r="Q31" s="60" t="str">
        <x:f>IF(A31="","",Q30+COUNTIFS(Kampregistrering!$AG$10:$AG$209,O31,Kampregistrering!$G$10:$G$209,"Single",Kampregistrering!$AK$10:$AK$209,1))</x:f>
      </x:c>
      <x:c r="R31" s="60" t="str">
        <x:f>IF(A31="","",R30+I31)</x:f>
      </x:c>
      <x:c r="S31" s="60" t="str">
        <x:f>IF(A31="","",S30+COUNTIFS(Kampregistrering!$AG$10:$AG$209,O31,Kampregistrering!$G$10:$G$209,"Double",Kampregistrering!$AK$10:$AK$209,1))</x:f>
      </x:c>
      <x:c r="T31" s="60" t="str">
        <x:f>IF(A31="","",T30+J31)</x:f>
      </x:c>
      <x:c r="U31" s="60" t="str">
        <x:f>IF(A31="","",U30+COUNTIFS(Kampregistrering!$AG$10:$AG$209,O31,Kampregistrering!$G$10:$G$209,"Mix",Kampregistrering!$AK$10:$AK$209,1))</x:f>
      </x:c>
      <x:c r="V31" t="str">
        <x:f>IF(A31="","",ROUND(((P31*Q31+R31*S31+T31*U31)/(Q31+S31+U31))+IF((MAX(P31,R31,T31)-(P31+R31+T31-MAX(P31,R31,T31)-MIN(P31,R31,T31)))&lt;'Model &amp; indstillinger'!$E$16,'Model &amp; indstillinger'!$E$18,'Model &amp; indstillinger'!$E$20)*(MAX(P31,R31,T31)-((P31*Q31+R31*S31+T31*U31)/(Q31+S31+U31))),0))</x:f>
      </x:c>
      <x:c r="W31" t="str">
        <x:f>IF(A31="","",V30)</x:f>
      </x:c>
    </x:row>
    <x:row r="32">
      <x:c r="A32" s="77" t="str">
        <x:f>IF(O32&gt;MAX(Kampregistrering!$AG$10:$AG$209),"",VLOOKUP(O32,Kampregistrering!$AQ$10:$AS$209,2,FALSE))</x:f>
      </x:c>
      <x:c r="B32" s="81" t="str">
        <x:f>IF(A32="","",VLOOKUP(O32,Kampregistrering!$AQ$10:$AS$209,3,FALSE))</x:f>
      </x:c>
      <x:c r="C32" s="95" t="str">
        <x:f>IF(A32="","",IF(O32&lt;MAX(Kampregistrering!$AG$10:$AG$209),"Afsluttet","I gang"))</x:f>
      </x:c>
      <x:c r="D32" s="81" t="str">
        <x:f>IF(A32="","",COUNTIFS(Kampregistrering!$AG$10:$AG$209,O32,Kampregistrering!$AK$10:$AK$209,1))</x:f>
      </x:c>
      <x:c r="E32" s="81" t="str">
        <x:f>IF(A32="","",COUNTIFS(Kampregistrering!$AG$10:$AG$209,O32,Kampregistrering!$H$10:$H$209,"Vundet"))</x:f>
      </x:c>
      <x:c r="F32" s="81" t="str">
        <x:f>IF(A32="","",COUNTIFS(Kampregistrering!$AG$10:$AG$209,O32,Kampregistrering!$H$10:$H$209,"Tabt"))</x:f>
      </x:c>
      <x:c r="G32" s="81" t="str">
        <x:f>IF(A32="","",COUNTIFS(Kampregistrering!$AG$10:$AG$209,O32,Kampregistrering!$H$10:$H$209,"Ikke spillet"))</x:f>
      </x:c>
      <x:c r="H32" s="125" t="str">
        <x:f>IF(A32="","",SUMIFS(Kampregistrering!$U$10:$U$209,Kampregistrering!$AG$10:$AG$209,O32,Kampregistrering!$G$10:$G$209,"Single"))</x:f>
      </x:c>
      <x:c r="I32" s="125" t="str">
        <x:f>IF(A32="","",SUMIFS(Kampregistrering!$U$10:$U$209,Kampregistrering!$AG$10:$AG$209,O32,Kampregistrering!$G$10:$G$209,"Double"))</x:f>
      </x:c>
      <x:c r="J32" s="125" t="str">
        <x:f>IF(A32="","",SUMIFS(Kampregistrering!$U$10:$U$209,Kampregistrering!$AG$10:$AG$209,O32,Kampregistrering!$G$10:$G$209,"Mix"))</x:f>
      </x:c>
      <x:c r="K32" s="125" t="str">
        <x:f>IF(A32="","",H32+I32+J32)</x:f>
      </x:c>
      <x:c r="L32" s="125" t="str">
        <x:f>IF(A32="","",W32)</x:f>
      </x:c>
      <x:c r="M32" s="125" t="str">
        <x:f>IF(A32="","",V32)</x:f>
      </x:c>
      <x:c r="N32" s="125" t="str">
        <x:f>IF(A32="","",M32-L32)</x:f>
      </x:c>
      <x:c r="O32" s="60" t="n">
        <x:v>28</x:v>
      </x:c>
      <x:c r="P32" s="60" t="str">
        <x:f>IF(A32="","",P31+H32)</x:f>
      </x:c>
      <x:c r="Q32" s="60" t="str">
        <x:f>IF(A32="","",Q31+COUNTIFS(Kampregistrering!$AG$10:$AG$209,O32,Kampregistrering!$G$10:$G$209,"Single",Kampregistrering!$AK$10:$AK$209,1))</x:f>
      </x:c>
      <x:c r="R32" s="60" t="str">
        <x:f>IF(A32="","",R31+I32)</x:f>
      </x:c>
      <x:c r="S32" s="60" t="str">
        <x:f>IF(A32="","",S31+COUNTIFS(Kampregistrering!$AG$10:$AG$209,O32,Kampregistrering!$G$10:$G$209,"Double",Kampregistrering!$AK$10:$AK$209,1))</x:f>
      </x:c>
      <x:c r="T32" s="60" t="str">
        <x:f>IF(A32="","",T31+J32)</x:f>
      </x:c>
      <x:c r="U32" s="60" t="str">
        <x:f>IF(A32="","",U31+COUNTIFS(Kampregistrering!$AG$10:$AG$209,O32,Kampregistrering!$G$10:$G$209,"Mix",Kampregistrering!$AK$10:$AK$209,1))</x:f>
      </x:c>
      <x:c r="V32" t="str">
        <x:f>IF(A32="","",ROUND(((P32*Q32+R32*S32+T32*U32)/(Q32+S32+U32))+IF((MAX(P32,R32,T32)-(P32+R32+T32-MAX(P32,R32,T32)-MIN(P32,R32,T32)))&lt;'Model &amp; indstillinger'!$E$16,'Model &amp; indstillinger'!$E$18,'Model &amp; indstillinger'!$E$20)*(MAX(P32,R32,T32)-((P32*Q32+R32*S32+T32*U32)/(Q32+S32+U32))),0))</x:f>
      </x:c>
      <x:c r="W32" t="str">
        <x:f>IF(A32="","",V31)</x:f>
      </x:c>
    </x:row>
    <x:row r="33">
      <x:c r="A33" s="77" t="str">
        <x:f>IF(O33&gt;MAX(Kampregistrering!$AG$10:$AG$209),"",VLOOKUP(O33,Kampregistrering!$AQ$10:$AS$209,2,FALSE))</x:f>
      </x:c>
      <x:c r="B33" s="81" t="str">
        <x:f>IF(A33="","",VLOOKUP(O33,Kampregistrering!$AQ$10:$AS$209,3,FALSE))</x:f>
      </x:c>
      <x:c r="C33" s="95" t="str">
        <x:f>IF(A33="","",IF(O33&lt;MAX(Kampregistrering!$AG$10:$AG$209),"Afsluttet","I gang"))</x:f>
      </x:c>
      <x:c r="D33" s="81" t="str">
        <x:f>IF(A33="","",COUNTIFS(Kampregistrering!$AG$10:$AG$209,O33,Kampregistrering!$AK$10:$AK$209,1))</x:f>
      </x:c>
      <x:c r="E33" s="81" t="str">
        <x:f>IF(A33="","",COUNTIFS(Kampregistrering!$AG$10:$AG$209,O33,Kampregistrering!$H$10:$H$209,"Vundet"))</x:f>
      </x:c>
      <x:c r="F33" s="81" t="str">
        <x:f>IF(A33="","",COUNTIFS(Kampregistrering!$AG$10:$AG$209,O33,Kampregistrering!$H$10:$H$209,"Tabt"))</x:f>
      </x:c>
      <x:c r="G33" s="81" t="str">
        <x:f>IF(A33="","",COUNTIFS(Kampregistrering!$AG$10:$AG$209,O33,Kampregistrering!$H$10:$H$209,"Ikke spillet"))</x:f>
      </x:c>
      <x:c r="H33" s="125" t="str">
        <x:f>IF(A33="","",SUMIFS(Kampregistrering!$U$10:$U$209,Kampregistrering!$AG$10:$AG$209,O33,Kampregistrering!$G$10:$G$209,"Single"))</x:f>
      </x:c>
      <x:c r="I33" s="125" t="str">
        <x:f>IF(A33="","",SUMIFS(Kampregistrering!$U$10:$U$209,Kampregistrering!$AG$10:$AG$209,O33,Kampregistrering!$G$10:$G$209,"Double"))</x:f>
      </x:c>
      <x:c r="J33" s="125" t="str">
        <x:f>IF(A33="","",SUMIFS(Kampregistrering!$U$10:$U$209,Kampregistrering!$AG$10:$AG$209,O33,Kampregistrering!$G$10:$G$209,"Mix"))</x:f>
      </x:c>
      <x:c r="K33" s="125" t="str">
        <x:f>IF(A33="","",H33+I33+J33)</x:f>
      </x:c>
      <x:c r="L33" s="125" t="str">
        <x:f>IF(A33="","",W33)</x:f>
      </x:c>
      <x:c r="M33" s="125" t="str">
        <x:f>IF(A33="","",V33)</x:f>
      </x:c>
      <x:c r="N33" s="125" t="str">
        <x:f>IF(A33="","",M33-L33)</x:f>
      </x:c>
      <x:c r="O33" s="60" t="n">
        <x:v>29</x:v>
      </x:c>
      <x:c r="P33" s="60" t="str">
        <x:f>IF(A33="","",P32+H33)</x:f>
      </x:c>
      <x:c r="Q33" s="60" t="str">
        <x:f>IF(A33="","",Q32+COUNTIFS(Kampregistrering!$AG$10:$AG$209,O33,Kampregistrering!$G$10:$G$209,"Single",Kampregistrering!$AK$10:$AK$209,1))</x:f>
      </x:c>
      <x:c r="R33" s="60" t="str">
        <x:f>IF(A33="","",R32+I33)</x:f>
      </x:c>
      <x:c r="S33" s="60" t="str">
        <x:f>IF(A33="","",S32+COUNTIFS(Kampregistrering!$AG$10:$AG$209,O33,Kampregistrering!$G$10:$G$209,"Double",Kampregistrering!$AK$10:$AK$209,1))</x:f>
      </x:c>
      <x:c r="T33" s="60" t="str">
        <x:f>IF(A33="","",T32+J33)</x:f>
      </x:c>
      <x:c r="U33" s="60" t="str">
        <x:f>IF(A33="","",U32+COUNTIFS(Kampregistrering!$AG$10:$AG$209,O33,Kampregistrering!$G$10:$G$209,"Mix",Kampregistrering!$AK$10:$AK$209,1))</x:f>
      </x:c>
      <x:c r="V33" t="str">
        <x:f>IF(A33="","",ROUND(((P33*Q33+R33*S33+T33*U33)/(Q33+S33+U33))+IF((MAX(P33,R33,T33)-(P33+R33+T33-MAX(P33,R33,T33)-MIN(P33,R33,T33)))&lt;'Model &amp; indstillinger'!$E$16,'Model &amp; indstillinger'!$E$18,'Model &amp; indstillinger'!$E$20)*(MAX(P33,R33,T33)-((P33*Q33+R33*S33+T33*U33)/(Q33+S33+U33))),0))</x:f>
      </x:c>
      <x:c r="W33" t="str">
        <x:f>IF(A33="","",V32)</x:f>
      </x:c>
    </x:row>
    <x:row r="34">
      <x:c r="A34" s="77" t="str">
        <x:f>IF(O34&gt;MAX(Kampregistrering!$AG$10:$AG$209),"",VLOOKUP(O34,Kampregistrering!$AQ$10:$AS$209,2,FALSE))</x:f>
      </x:c>
      <x:c r="B34" s="81" t="str">
        <x:f>IF(A34="","",VLOOKUP(O34,Kampregistrering!$AQ$10:$AS$209,3,FALSE))</x:f>
      </x:c>
      <x:c r="C34" s="95" t="str">
        <x:f>IF(A34="","",IF(O34&lt;MAX(Kampregistrering!$AG$10:$AG$209),"Afsluttet","I gang"))</x:f>
      </x:c>
      <x:c r="D34" s="81" t="str">
        <x:f>IF(A34="","",COUNTIFS(Kampregistrering!$AG$10:$AG$209,O34,Kampregistrering!$AK$10:$AK$209,1))</x:f>
      </x:c>
      <x:c r="E34" s="81" t="str">
        <x:f>IF(A34="","",COUNTIFS(Kampregistrering!$AG$10:$AG$209,O34,Kampregistrering!$H$10:$H$209,"Vundet"))</x:f>
      </x:c>
      <x:c r="F34" s="81" t="str">
        <x:f>IF(A34="","",COUNTIFS(Kampregistrering!$AG$10:$AG$209,O34,Kampregistrering!$H$10:$H$209,"Tabt"))</x:f>
      </x:c>
      <x:c r="G34" s="81" t="str">
        <x:f>IF(A34="","",COUNTIFS(Kampregistrering!$AG$10:$AG$209,O34,Kampregistrering!$H$10:$H$209,"Ikke spillet"))</x:f>
      </x:c>
      <x:c r="H34" s="125" t="str">
        <x:f>IF(A34="","",SUMIFS(Kampregistrering!$U$10:$U$209,Kampregistrering!$AG$10:$AG$209,O34,Kampregistrering!$G$10:$G$209,"Single"))</x:f>
      </x:c>
      <x:c r="I34" s="125" t="str">
        <x:f>IF(A34="","",SUMIFS(Kampregistrering!$U$10:$U$209,Kampregistrering!$AG$10:$AG$209,O34,Kampregistrering!$G$10:$G$209,"Double"))</x:f>
      </x:c>
      <x:c r="J34" s="125" t="str">
        <x:f>IF(A34="","",SUMIFS(Kampregistrering!$U$10:$U$209,Kampregistrering!$AG$10:$AG$209,O34,Kampregistrering!$G$10:$G$209,"Mix"))</x:f>
      </x:c>
      <x:c r="K34" s="125" t="str">
        <x:f>IF(A34="","",H34+I34+J34)</x:f>
      </x:c>
      <x:c r="L34" s="125" t="str">
        <x:f>IF(A34="","",W34)</x:f>
      </x:c>
      <x:c r="M34" s="125" t="str">
        <x:f>IF(A34="","",V34)</x:f>
      </x:c>
      <x:c r="N34" s="125" t="str">
        <x:f>IF(A34="","",M34-L34)</x:f>
      </x:c>
      <x:c r="O34" s="60" t="n">
        <x:v>30</x:v>
      </x:c>
      <x:c r="P34" s="60" t="str">
        <x:f>IF(A34="","",P33+H34)</x:f>
      </x:c>
      <x:c r="Q34" s="60" t="str">
        <x:f>IF(A34="","",Q33+COUNTIFS(Kampregistrering!$AG$10:$AG$209,O34,Kampregistrering!$G$10:$G$209,"Single",Kampregistrering!$AK$10:$AK$209,1))</x:f>
      </x:c>
      <x:c r="R34" s="60" t="str">
        <x:f>IF(A34="","",R33+I34)</x:f>
      </x:c>
      <x:c r="S34" s="60" t="str">
        <x:f>IF(A34="","",S33+COUNTIFS(Kampregistrering!$AG$10:$AG$209,O34,Kampregistrering!$G$10:$G$209,"Double",Kampregistrering!$AK$10:$AK$209,1))</x:f>
      </x:c>
      <x:c r="T34" s="60" t="str">
        <x:f>IF(A34="","",T33+J34)</x:f>
      </x:c>
      <x:c r="U34" s="60" t="str">
        <x:f>IF(A34="","",U33+COUNTIFS(Kampregistrering!$AG$10:$AG$209,O34,Kampregistrering!$G$10:$G$209,"Mix",Kampregistrering!$AK$10:$AK$209,1))</x:f>
      </x:c>
      <x:c r="V34" t="str">
        <x:f>IF(A34="","",ROUND(((P34*Q34+R34*S34+T34*U34)/(Q34+S34+U34))+IF((MAX(P34,R34,T34)-(P34+R34+T34-MAX(P34,R34,T34)-MIN(P34,R34,T34)))&lt;'Model &amp; indstillinger'!$E$16,'Model &amp; indstillinger'!$E$18,'Model &amp; indstillinger'!$E$20)*(MAX(P34,R34,T34)-((P34*Q34+R34*S34+T34*U34)/(Q34+S34+U34))),0))</x:f>
      </x:c>
      <x:c r="W34" t="str">
        <x:f>IF(A34="","",V33)</x:f>
      </x:c>
    </x:row>
    <x:row r="35">
      <x:c r="A35" s="60" t="n"/>
      <x:c r="B35" s="60" t="n"/>
      <x:c r="C35" s="60" t="n"/>
      <x:c r="D35" s="60" t="n"/>
      <x:c r="E35" s="60" t="n"/>
      <x:c r="F35" s="60" t="n"/>
      <x:c r="G35" s="60" t="n"/>
      <x:c r="H35" s="60" t="n"/>
      <x:c r="I35" s="60" t="n"/>
      <x:c r="J35" s="60" t="n"/>
      <x:c r="K35" s="60" t="n"/>
      <x:c r="L35" s="60" t="n"/>
      <x:c r="M35" s="60" t="n"/>
      <x:c r="N35" s="60" t="n"/>
      <x:c r="O35" s="60" t="n"/>
      <x:c r="P35" s="60" t="n"/>
      <x:c r="Q35" s="60" t="n"/>
      <x:c r="R35" s="60" t="n"/>
      <x:c r="S35" s="60" t="n"/>
      <x:c r="T35" s="60" t="n"/>
      <x:c r="U35" s="60" t="n"/>
    </x:row>
    <x:row r="36">
      <x:c r="A36" s="117" t="inlineStr">
        <x:is>
          <x:t xml:space="preserve">Rå kategoripoint = Single +/- + Double +/- + Mix +/-. TN ændring = ændringen i Mattis vægtede tilmeldingsniveau.</x:t>
        </x:is>
      </x:c>
      <x:c r="B36" s="1" t="n"/>
      <x:c r="C36" s="1" t="n"/>
      <x:c r="D36" s="1" t="n"/>
      <x:c r="E36" s="1" t="n"/>
      <x:c r="F36" s="1" t="n"/>
      <x:c r="G36" s="1" t="n"/>
      <x:c r="H36" s="1" t="n"/>
      <x:c r="I36" s="1" t="n"/>
      <x:c r="J36" s="1" t="n"/>
      <x:c r="K36" s="1" t="n"/>
      <x:c r="L36" s="1" t="n"/>
      <x:c r="M36" s="1" t="n"/>
      <x:c r="N36" s="1" t="n"/>
      <x:c r="O36" s="60" t="n"/>
      <x:c r="P36" s="60" t="n"/>
      <x:c r="Q36" s="60" t="n"/>
      <x:c r="R36" s="60" t="n"/>
      <x:c r="S36" s="60" t="n"/>
      <x:c r="T36" s="60" t="n"/>
      <x:c r="U36" s="60" t="n"/>
    </x:row>
    <x:row r="37">
      <x:c r="A37" s="60" t="n"/>
      <x:c r="B37" s="60" t="n"/>
      <x:c r="C37" s="60" t="n"/>
      <x:c r="D37" s="60" t="n"/>
      <x:c r="E37" s="60" t="n"/>
      <x:c r="F37" s="60" t="n"/>
      <x:c r="G37" s="60" t="n"/>
      <x:c r="H37" s="60" t="n"/>
      <x:c r="I37" s="60" t="n"/>
      <x:c r="J37" s="60" t="n"/>
      <x:c r="K37" s="60" t="n"/>
      <x:c r="L37" s="60" t="n"/>
      <x:c r="M37" s="60" t="n"/>
      <x:c r="N37" s="60" t="n"/>
      <x:c r="O37" s="60" t="n"/>
      <x:c r="P37" s="60" t="n"/>
      <x:c r="Q37" s="60" t="n"/>
      <x:c r="R37" s="60" t="n"/>
      <x:c r="S37" s="60" t="n"/>
      <x:c r="T37" s="60" t="n"/>
      <x:c r="U37" s="60" t="n"/>
    </x:row>
    <x:row r="38">
      <x:c r="A38" s="60" t="n"/>
      <x:c r="B38" s="60" t="n"/>
      <x:c r="C38" s="60" t="n"/>
      <x:c r="D38" s="60" t="n"/>
      <x:c r="E38" s="60" t="n"/>
      <x:c r="F38" s="60" t="n"/>
      <x:c r="G38" s="60" t="n"/>
      <x:c r="H38" s="60" t="n"/>
      <x:c r="I38" s="60" t="n"/>
      <x:c r="J38" s="60" t="n"/>
      <x:c r="K38" s="60" t="n"/>
      <x:c r="L38" s="60" t="n"/>
      <x:c r="M38" s="60" t="n"/>
      <x:c r="N38" s="60" t="n"/>
      <x:c r="O38" s="60" t="n"/>
      <x:c r="P38" s="60" t="n"/>
      <x:c r="Q38" s="60" t="n"/>
      <x:c r="R38" s="60" t="n"/>
      <x:c r="S38" s="60" t="n"/>
      <x:c r="T38" s="60" t="n"/>
      <x:c r="U38" s="60" t="n"/>
    </x:row>
    <x:row r="39">
      <x:c r="A39" s="60" t="n"/>
      <x:c r="B39" s="60" t="n"/>
      <x:c r="C39" s="60" t="n"/>
      <x:c r="D39" s="60" t="n"/>
      <x:c r="E39" s="60" t="n"/>
      <x:c r="F39" s="60" t="n"/>
      <x:c r="G39" s="60" t="n"/>
      <x:c r="H39" s="60" t="n"/>
      <x:c r="I39" s="60" t="n"/>
      <x:c r="J39" s="60" t="n"/>
      <x:c r="K39" s="60" t="n"/>
      <x:c r="L39" s="60" t="n"/>
      <x:c r="M39" s="60" t="n"/>
      <x:c r="N39" s="60" t="n"/>
      <x:c r="O39" s="60" t="n"/>
      <x:c r="P39" s="60" t="n"/>
      <x:c r="Q39" s="60" t="n"/>
      <x:c r="R39" s="60" t="n"/>
      <x:c r="S39" s="60" t="n"/>
      <x:c r="T39" s="60" t="n"/>
      <x:c r="U39" s="60" t="n"/>
    </x:row>
    <x:row r="40">
      <x:c r="A40" s="60" t="n"/>
      <x:c r="B40" s="60" t="n"/>
      <x:c r="C40" s="60" t="n"/>
      <x:c r="D40" s="60" t="n"/>
      <x:c r="E40" s="60" t="n"/>
      <x:c r="F40" s="60" t="n"/>
      <x:c r="G40" s="60" t="n"/>
      <x:c r="H40" s="60" t="n"/>
      <x:c r="I40" s="60" t="n"/>
      <x:c r="J40" s="60" t="n"/>
      <x:c r="K40" s="60" t="n"/>
      <x:c r="L40" s="60" t="n"/>
      <x:c r="M40" s="60" t="n"/>
      <x:c r="N40" s="60" t="n"/>
      <x:c r="O40" s="60" t="n"/>
      <x:c r="P40" s="60" t="n"/>
      <x:c r="Q40" s="60" t="n"/>
      <x:c r="R40" s="60" t="n"/>
      <x:c r="S40" s="60" t="n"/>
      <x:c r="T40" s="60" t="n"/>
      <x:c r="U40" s="60" t="n"/>
    </x:row>
  </x:sheetData>
  <x:mergeCells>
    <x:mergeCell ref="A36:N36"/>
    <x:mergeCell ref="A2:N2"/>
    <x:mergeCell ref="A1:N1"/>
  </x:mergeCells>
  <x:conditionalFormatting sqref="C5:C34">
    <x:cfRule type="expression" dxfId="3" priority="1">
      <x:formula>C5="I gang"</x:formula>
    </x:cfRule>
  </x:conditionalFormatting>
  <x:pageMargins left="0.7" right="0.7" top="0.75" bottom="0.75" header="0.3" footer="0.3"/>
</x:worksheet>
</file>